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65" activeTab="1"/>
  </bookViews>
  <sheets>
    <sheet name="СводныйДуб" sheetId="11" r:id="rId1"/>
    <sheet name="СводныйМск" sheetId="7" r:id="rId2"/>
    <sheet name="Графики" sheetId="10" r:id="rId3"/>
    <sheet name="Разовые расходы" sheetId="9" r:id="rId4"/>
  </sheets>
  <externalReferences>
    <externalReference r:id="rId5"/>
    <externalReference r:id="rId6"/>
  </externalReferences>
  <definedNames>
    <definedName name="_Fill" localSheetId="0" hidden="1">#REF!</definedName>
    <definedName name="_Fill" localSheetId="1" hidden="1">#REF!</definedName>
    <definedName name="_Fill" hidden="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CorpTax" localSheetId="0">'[1]IP1'!$F$155</definedName>
    <definedName name="CorpTax" localSheetId="1">'[1]IP1'!$F$155</definedName>
    <definedName name="CorpTax">'[2]IP1'!$F$155</definedName>
    <definedName name="CorpTax2" localSheetId="0">'[1]IP1'!$G$155</definedName>
    <definedName name="CorpTax2" localSheetId="1">'[1]IP1'!$G$155</definedName>
    <definedName name="CorpTax2">'[2]IP1'!$G$155</definedName>
    <definedName name="Mths" localSheetId="0">'[1]IP2'!$E$4:$AB$4</definedName>
    <definedName name="Mths" localSheetId="1">'[1]IP2'!$E$4:$AB$4</definedName>
    <definedName name="Mths">'[2]IP2'!$E$4:$AB$4</definedName>
    <definedName name="Pattern" localSheetId="0">[1]Patterns!$A$2:$N$28</definedName>
    <definedName name="Pattern" localSheetId="1">[1]Patterns!$A$2:$N$28</definedName>
    <definedName name="Pattern">[2]Patterns!$A$2:$N$28</definedName>
    <definedName name="Patterns" localSheetId="0">[1]Patterns!$A$2:$A$28</definedName>
    <definedName name="Patterns" localSheetId="1">[1]Patterns!$A$2:$A$28</definedName>
    <definedName name="Patterns">[2]Patterns!$A$2:$A$28</definedName>
    <definedName name="Sales_Vol" localSheetId="0">'[1]IP1'!#REF!</definedName>
    <definedName name="Sales_Vol" localSheetId="1">'[1]IP1'!#REF!</definedName>
    <definedName name="Sales_Vol">'[2]IP1'!#REF!</definedName>
    <definedName name="VAT" localSheetId="0">'[1]IP1'!$B$158:$B$163</definedName>
    <definedName name="VAT" localSheetId="1">'[1]IP1'!$B$158:$B$163</definedName>
    <definedName name="VAT">'[2]IP1'!$B$158:$B$163</definedName>
    <definedName name="VATrates" localSheetId="0">'[1]IP1'!$B$158:$G$163</definedName>
    <definedName name="VATrates" localSheetId="1">'[1]IP1'!$B$158:$G$163</definedName>
    <definedName name="VATrates">'[2]IP1'!$B$158:$G$163</definedName>
    <definedName name="wrn.MONTHLY._.PERFORMANCE." localSheetId="0" hidden="1">{"cover2",#N/A,FALSE,"Cover";"outlook",#N/A,FALSE,"Outlook";"ep_p&amp;l",#N/A,FALSE," EP P&amp;L";"gross_profit",#N/A,FALSE,"Gross Profit";"overheads",#N/A,FALSE,"Overheads";"ep_bal_sheet",#N/A,FALSE,"EP Bal Sheet";"cap_chg",#N/A,FALSE,"Cap chg";"cash",#N/A,FALSE,"Cash";"work_cap",#N/A,FALSE,"Work Cap";"debtors",#N/A,FALSE,"Debtors";"add_info",#N/A,FALSE,"Add Info";"p&amp;l_trad",#N/A,FALSE,"P&amp;L trad";"bs_trad",#N/A,FALSE,"BS trad";"interco",#N/A,FALSE,"Interco"}</definedName>
    <definedName name="wrn.MONTHLY._.PERFORMANCE." localSheetId="1" hidden="1">{"cover2",#N/A,FALSE,"Cover";"outlook",#N/A,FALSE,"Outlook";"ep_p&amp;l",#N/A,FALSE," EP P&amp;L";"gross_profit",#N/A,FALSE,"Gross Profit";"overheads",#N/A,FALSE,"Overheads";"ep_bal_sheet",#N/A,FALSE,"EP Bal Sheet";"cap_chg",#N/A,FALSE,"Cap chg";"cash",#N/A,FALSE,"Cash";"work_cap",#N/A,FALSE,"Work Cap";"debtors",#N/A,FALSE,"Debtors";"add_info",#N/A,FALSE,"Add Info";"p&amp;l_trad",#N/A,FALSE,"P&amp;L trad";"bs_trad",#N/A,FALSE,"BS trad";"interco",#N/A,FALSE,"Interco"}</definedName>
    <definedName name="wrn.MONTHLY._.PERFORMANCE." hidden="1">{"cover2",#N/A,FALSE,"Cover";"outlook",#N/A,FALSE,"Outlook";"ep_p&amp;l",#N/A,FALSE," EP P&amp;L";"gross_profit",#N/A,FALSE,"Gross Profit";"overheads",#N/A,FALSE,"Overheads";"ep_bal_sheet",#N/A,FALSE,"EP Bal Sheet";"cap_chg",#N/A,FALSE,"Cap chg";"cash",#N/A,FALSE,"Cash";"work_cap",#N/A,FALSE,"Work Cap";"debtors",#N/A,FALSE,"Debtors";"add_info",#N/A,FALSE,"Add Info";"p&amp;l_trad",#N/A,FALSE,"P&amp;L trad";"bs_trad",#N/A,FALSE,"BS trad";"interco",#N/A,FALSE,"Interco"}</definedName>
    <definedName name="Выписки" localSheetId="0" hidden="1">#REF!</definedName>
    <definedName name="Выписки" localSheetId="1" hidden="1">#REF!</definedName>
    <definedName name="Выписки" hidden="1">#REF!</definedName>
    <definedName name="ккк" localSheetId="0" hidden="1">#REF!</definedName>
    <definedName name="ккк" localSheetId="1" hidden="1">#REF!</definedName>
    <definedName name="ккк" hidden="1">#REF!</definedName>
    <definedName name="_xlnm.Print_Area" localSheetId="0">СводныйДуб!$A$1:$O$53</definedName>
    <definedName name="_xlnm.Print_Area" localSheetId="1">СводныйМск!$A$1:$O$54</definedName>
  </definedNames>
  <calcPr calcId="144525"/>
</workbook>
</file>

<file path=xl/sharedStrings.xml><?xml version="1.0" encoding="utf-8"?>
<sst xmlns="http://schemas.openxmlformats.org/spreadsheetml/2006/main" count="162" uniqueCount="101">
  <si>
    <t>Начальное число клиентов</t>
  </si>
  <si>
    <t>зп налоги, %</t>
  </si>
  <si>
    <t>Ставка дисконтирования, %</t>
  </si>
  <si>
    <t>Средний чек Фонтан, мес/$</t>
  </si>
  <si>
    <t>налог на прибыль, %</t>
  </si>
  <si>
    <t>Темп роста через 3 года, % в год</t>
  </si>
  <si>
    <t>Доп.услуги, % рекламы</t>
  </si>
  <si>
    <t>IT, % от выручки</t>
  </si>
  <si>
    <t>DCF, $</t>
  </si>
  <si>
    <t>Инфляция, % год</t>
  </si>
  <si>
    <t>Представительские, % от выручки</t>
  </si>
  <si>
    <t>ROS</t>
  </si>
  <si>
    <t>Затраты на маркетинг, руб/$</t>
  </si>
  <si>
    <t>РКО, % от выручки</t>
  </si>
  <si>
    <t>NPV, $ (3 года)</t>
  </si>
  <si>
    <t>Заполняемость рекламы</t>
  </si>
  <si>
    <t>Хозяйственные расходы, % от выручки</t>
  </si>
  <si>
    <t>ROI, $ (3 года)</t>
  </si>
  <si>
    <t>Агентские, % рекламы</t>
  </si>
  <si>
    <t>Прочие расходы, % от выручки</t>
  </si>
  <si>
    <t>PP, $/мес</t>
  </si>
  <si>
    <t>Подготовка Фонтан 1, мес</t>
  </si>
  <si>
    <t>Период</t>
  </si>
  <si>
    <t>-</t>
  </si>
  <si>
    <t>Клиенты на рекламу</t>
  </si>
  <si>
    <t>Клиенты на франшизу</t>
  </si>
  <si>
    <t>Выручка</t>
  </si>
  <si>
    <t>Фонтан 1</t>
  </si>
  <si>
    <t>Паушальный взнос</t>
  </si>
  <si>
    <t>Роялти</t>
  </si>
  <si>
    <t>Доп.услуги</t>
  </si>
  <si>
    <t>Операционные затраты</t>
  </si>
  <si>
    <t>Маркетинг</t>
  </si>
  <si>
    <t>Агентсткие</t>
  </si>
  <si>
    <t>ФОТ</t>
  </si>
  <si>
    <t>директор</t>
  </si>
  <si>
    <t>советник</t>
  </si>
  <si>
    <t>зам.по флоту</t>
  </si>
  <si>
    <t>коммерческий</t>
  </si>
  <si>
    <t>менеджер</t>
  </si>
  <si>
    <t>бухгалтер</t>
  </si>
  <si>
    <t>юрист</t>
  </si>
  <si>
    <t>секретарь</t>
  </si>
  <si>
    <t>капитаны</t>
  </si>
  <si>
    <t>мотористы</t>
  </si>
  <si>
    <t>Топливо, масло</t>
  </si>
  <si>
    <t>Текущий ремонт</t>
  </si>
  <si>
    <t>Обслуживание экранов</t>
  </si>
  <si>
    <t>Береговое обеспечение</t>
  </si>
  <si>
    <t>электричество</t>
  </si>
  <si>
    <t>причаливание</t>
  </si>
  <si>
    <t>отстой</t>
  </si>
  <si>
    <t>прочее</t>
  </si>
  <si>
    <t>IT</t>
  </si>
  <si>
    <t>представительские</t>
  </si>
  <si>
    <t>Офис</t>
  </si>
  <si>
    <t>Коллцентр</t>
  </si>
  <si>
    <t>хозяйственные</t>
  </si>
  <si>
    <t>прочие</t>
  </si>
  <si>
    <t>Финансовые расходы</t>
  </si>
  <si>
    <t>РКО</t>
  </si>
  <si>
    <t>зарплатные налоги</t>
  </si>
  <si>
    <t>налог на прибыль</t>
  </si>
  <si>
    <t>Инвестиции</t>
  </si>
  <si>
    <t>Фонтант 1</t>
  </si>
  <si>
    <t>Разовые</t>
  </si>
  <si>
    <t>Cash Flow</t>
  </si>
  <si>
    <t>Средний чек Фонтан, мес/руб</t>
  </si>
  <si>
    <t>Средний чек ЖюльВерн до, мес/руб</t>
  </si>
  <si>
    <t>DCF, руб</t>
  </si>
  <si>
    <t>Средний чек Сильвер , мес/руб</t>
  </si>
  <si>
    <t>NPV, руб (3 года)</t>
  </si>
  <si>
    <t>ROI, руб (3 года)</t>
  </si>
  <si>
    <t>Затраты на маркетинг, руб/мес</t>
  </si>
  <si>
    <t>PP, руб/мес</t>
  </si>
  <si>
    <t>Подготовка ЖюльВерн 2, мес</t>
  </si>
  <si>
    <t>Клиенты</t>
  </si>
  <si>
    <t xml:space="preserve">ЖюльВерн </t>
  </si>
  <si>
    <t>Сильвер</t>
  </si>
  <si>
    <t>Фонтан Москва</t>
  </si>
  <si>
    <t>Наименование</t>
  </si>
  <si>
    <t>Сумма</t>
  </si>
  <si>
    <t xml:space="preserve">Кол-Центр </t>
  </si>
  <si>
    <t xml:space="preserve">Софт </t>
  </si>
  <si>
    <t>Обеспечительный платёж</t>
  </si>
  <si>
    <t>Гарантийный платёж</t>
  </si>
  <si>
    <t>Арендный платёж</t>
  </si>
  <si>
    <t>Парковочные места 2шт</t>
  </si>
  <si>
    <t>Мебель</t>
  </si>
  <si>
    <t>Кабинет руководителя б/у</t>
  </si>
  <si>
    <t>Кабинет бухгалтера б/у</t>
  </si>
  <si>
    <t>Кабинет руководителя Отдела продаж б/у</t>
  </si>
  <si>
    <t>рабочие места сотрудников б/у</t>
  </si>
  <si>
    <t>Принтеры.МФУ  б/у</t>
  </si>
  <si>
    <t>Сейфы  б/у</t>
  </si>
  <si>
    <t>Концелярия  б/у</t>
  </si>
  <si>
    <t>ПК, мониторы  б/у</t>
  </si>
  <si>
    <t>Маркерные доски б/у</t>
  </si>
  <si>
    <t>Мягкая мебель</t>
  </si>
  <si>
    <t>Прочее,растения в офис</t>
  </si>
  <si>
    <t>ИТОГО</t>
  </si>
</sst>
</file>

<file path=xl/styles.xml><?xml version="1.0" encoding="utf-8"?>
<styleSheet xmlns="http://schemas.openxmlformats.org/spreadsheetml/2006/main">
  <numFmts count="13">
    <numFmt numFmtId="176" formatCode="_-* #\.##0\ &quot;₽&quot;_-;\-* #\.##0\ &quot;₽&quot;_-;_-* \-\ &quot;₽&quot;_-;_-@_-"/>
    <numFmt numFmtId="177" formatCode="#\ ##0.0_ ;\-#\ ##0.0\ "/>
    <numFmt numFmtId="178" formatCode="_-* #\ ##0.00\ _₽_-;\-* #\ ##0.00\ _₽_-;_-* &quot;-&quot;??\ _₽_-;_-@_-"/>
    <numFmt numFmtId="179" formatCode="&quot; &quot;#\ ##0.00&quot; ₽ &quot;;&quot;-&quot;#\ ##0.00&quot; ₽ &quot;;&quot; -&quot;00&quot; ₽ &quot;;&quot; &quot;@&quot; &quot;"/>
    <numFmt numFmtId="180" formatCode="_-* #\.##0_-;\-* #\.##0_-;_-* &quot;-&quot;_-;_-@_-"/>
    <numFmt numFmtId="181" formatCode="_-[$€]* #\ ##0.00_-;\-[$€]* #\ ##0.00_-;_-[$€]* &quot;-&quot;??_-;_-@_-"/>
    <numFmt numFmtId="182" formatCode="_-* #\.##0.00\ &quot;₽&quot;_-;\-* #\.##0.00\ &quot;₽&quot;_-;_-* \-??\ &quot;₽&quot;_-;_-@_-"/>
    <numFmt numFmtId="183" formatCode="#\ ##0.00\ _₽"/>
    <numFmt numFmtId="184" formatCode="#\ ##0_ ;\-#\ ##0\ "/>
    <numFmt numFmtId="185" formatCode="0.0%"/>
    <numFmt numFmtId="186" formatCode="_-* #\ ##0\ _₽_-;\-* #\ ##0\ _₽_-;_-* &quot;-&quot;??\ _₽_-;_-@_-"/>
    <numFmt numFmtId="187" formatCode="_-* #\ ##0_р_._-;\-* #\ ##0_р_._-;_-* &quot;-&quot;_р_._-;_-@_-"/>
    <numFmt numFmtId="188" formatCode="_-[$€]* #\ ##0_-;\-[$€]* #\ ##0_-;_-[$€]* &quot;-&quot;??_-;_-@_-"/>
  </numFmts>
  <fonts count="33">
    <font>
      <sz val="11"/>
      <color theme="1"/>
      <name val="Calibri"/>
      <charset val="204"/>
      <scheme val="minor"/>
    </font>
    <font>
      <sz val="10"/>
      <color theme="1"/>
      <name val="Century Gothic"/>
      <charset val="204"/>
    </font>
    <font>
      <sz val="10"/>
      <color rgb="FF222222"/>
      <name val="Century Gothic"/>
      <charset val="204"/>
    </font>
    <font>
      <sz val="11"/>
      <color theme="0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2"/>
      <color rgb="FFFF0000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0"/>
      <name val="Calibri"/>
      <charset val="204"/>
      <scheme val="minor"/>
    </font>
    <font>
      <sz val="8"/>
      <name val="Arial"/>
      <charset val="20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0000"/>
      <name val="Calibri"/>
      <charset val="204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0"/>
      <name val="Arial"/>
      <charset val="204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4" tint="0.599993896298105"/>
        <bgColor indexed="31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/>
    <xf numFmtId="0" fontId="11" fillId="8" borderId="0" applyNumberFormat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10" fillId="0" borderId="0"/>
    <xf numFmtId="0" fontId="11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180" fontId="12" fillId="0" borderId="0" applyFont="0" applyFill="0" applyBorder="0" applyAlignment="0" applyProtection="0">
      <alignment vertical="center"/>
    </xf>
    <xf numFmtId="182" fontId="12" fillId="0" borderId="0" applyFont="0" applyFill="0" applyBorder="0" applyAlignment="0" applyProtection="0">
      <alignment vertical="center"/>
    </xf>
    <xf numFmtId="0" fontId="10" fillId="0" borderId="0"/>
    <xf numFmtId="178" fontId="0" fillId="0" borderId="0" applyFont="0" applyFill="0" applyBorder="0" applyAlignment="0" applyProtection="0"/>
    <xf numFmtId="0" fontId="18" fillId="0" borderId="0"/>
    <xf numFmtId="0" fontId="1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/>
    <xf numFmtId="0" fontId="11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2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179" fontId="18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9" fillId="26" borderId="11" applyNumberFormat="0" applyAlignment="0" applyProtection="0">
      <alignment vertical="center"/>
    </xf>
    <xf numFmtId="0" fontId="31" fillId="29" borderId="12" applyNumberFormat="0" applyAlignment="0" applyProtection="0">
      <alignment vertical="center"/>
    </xf>
    <xf numFmtId="0" fontId="32" fillId="19" borderId="1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181" fontId="0" fillId="0" borderId="0"/>
    <xf numFmtId="0" fontId="11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183" fontId="1" fillId="3" borderId="1" xfId="0" applyNumberFormat="1" applyFont="1" applyFill="1" applyBorder="1"/>
    <xf numFmtId="0" fontId="1" fillId="0" borderId="1" xfId="0" applyFont="1" applyBorder="1"/>
    <xf numFmtId="183" fontId="1" fillId="0" borderId="1" xfId="0" applyNumberFormat="1" applyFont="1" applyBorder="1"/>
    <xf numFmtId="0" fontId="2" fillId="3" borderId="1" xfId="0" applyFont="1" applyFill="1" applyBorder="1" applyAlignment="1">
      <alignment horizontal="right"/>
    </xf>
    <xf numFmtId="181" fontId="0" fillId="3" borderId="0" xfId="46" applyFont="1" applyFill="1"/>
    <xf numFmtId="181" fontId="3" fillId="0" borderId="0" xfId="46" applyFont="1" applyAlignment="1">
      <alignment horizontal="center"/>
    </xf>
    <xf numFmtId="181" fontId="0" fillId="0" borderId="0" xfId="46" applyFont="1" applyAlignment="1">
      <alignment horizontal="center"/>
    </xf>
    <xf numFmtId="181" fontId="0" fillId="0" borderId="0" xfId="46" applyFont="1"/>
    <xf numFmtId="181" fontId="4" fillId="0" borderId="0" xfId="46" applyFont="1"/>
    <xf numFmtId="181" fontId="5" fillId="3" borderId="1" xfId="46" applyFont="1" applyFill="1" applyBorder="1" applyAlignment="1">
      <alignment horizontal="left" vertical="center" wrapText="1"/>
    </xf>
    <xf numFmtId="184" fontId="6" fillId="3" borderId="1" xfId="46" applyNumberFormat="1" applyFont="1" applyFill="1" applyBorder="1" applyAlignment="1">
      <alignment horizontal="center" vertical="center" wrapText="1"/>
    </xf>
    <xf numFmtId="9" fontId="6" fillId="3" borderId="0" xfId="12" applyFont="1" applyFill="1" applyBorder="1" applyAlignment="1">
      <alignment horizontal="center" vertical="center" wrapText="1"/>
    </xf>
    <xf numFmtId="185" fontId="6" fillId="3" borderId="1" xfId="12" applyNumberFormat="1" applyFont="1" applyFill="1" applyBorder="1" applyAlignment="1">
      <alignment horizontal="center" vertical="center" wrapText="1"/>
    </xf>
    <xf numFmtId="181" fontId="5" fillId="3" borderId="2" xfId="46" applyFont="1" applyFill="1" applyBorder="1" applyAlignment="1">
      <alignment horizontal="left" vertical="center" wrapText="1"/>
    </xf>
    <xf numFmtId="181" fontId="5" fillId="3" borderId="3" xfId="46" applyFont="1" applyFill="1" applyBorder="1" applyAlignment="1">
      <alignment horizontal="left" vertical="center" wrapText="1"/>
    </xf>
    <xf numFmtId="181" fontId="5" fillId="3" borderId="4" xfId="46" applyFont="1" applyFill="1" applyBorder="1" applyAlignment="1">
      <alignment horizontal="left" vertical="center" wrapText="1"/>
    </xf>
    <xf numFmtId="9" fontId="6" fillId="3" borderId="1" xfId="12" applyFont="1" applyFill="1" applyBorder="1" applyAlignment="1">
      <alignment horizontal="center" vertical="center" wrapText="1"/>
    </xf>
    <xf numFmtId="178" fontId="6" fillId="3" borderId="0" xfId="9" applyFont="1" applyFill="1" applyBorder="1" applyAlignment="1">
      <alignment horizontal="center" vertical="center" wrapText="1"/>
    </xf>
    <xf numFmtId="9" fontId="6" fillId="3" borderId="1" xfId="12" applyNumberFormat="1" applyFont="1" applyFill="1" applyBorder="1" applyAlignment="1">
      <alignment horizontal="center" vertical="center" wrapText="1"/>
    </xf>
    <xf numFmtId="186" fontId="6" fillId="3" borderId="0" xfId="12" applyNumberFormat="1" applyFont="1" applyFill="1" applyBorder="1" applyAlignment="1">
      <alignment horizontal="center" vertical="center" wrapText="1"/>
    </xf>
    <xf numFmtId="181" fontId="0" fillId="0" borderId="1" xfId="46" applyFont="1" applyBorder="1" applyAlignment="1">
      <alignment horizontal="left" vertical="center" wrapText="1"/>
    </xf>
    <xf numFmtId="181" fontId="0" fillId="4" borderId="2" xfId="46" applyFont="1" applyFill="1" applyBorder="1" applyAlignment="1">
      <alignment horizontal="left" vertical="center" wrapText="1"/>
    </xf>
    <xf numFmtId="184" fontId="0" fillId="3" borderId="2" xfId="46" applyNumberFormat="1" applyFont="1" applyFill="1" applyBorder="1" applyAlignment="1">
      <alignment horizontal="center" vertical="center" wrapText="1"/>
    </xf>
    <xf numFmtId="181" fontId="0" fillId="3" borderId="2" xfId="46" applyFont="1" applyFill="1" applyBorder="1" applyAlignment="1">
      <alignment horizontal="left" vertical="center" wrapText="1"/>
    </xf>
    <xf numFmtId="181" fontId="5" fillId="5" borderId="2" xfId="46" applyFont="1" applyFill="1" applyBorder="1"/>
    <xf numFmtId="187" fontId="5" fillId="6" borderId="1" xfId="46" applyNumberFormat="1" applyFont="1" applyFill="1" applyBorder="1"/>
    <xf numFmtId="181" fontId="0" fillId="3" borderId="1" xfId="46" applyFont="1" applyFill="1" applyBorder="1" applyAlignment="1">
      <alignment horizontal="left" vertical="center" wrapText="1"/>
    </xf>
    <xf numFmtId="186" fontId="0" fillId="0" borderId="2" xfId="9" applyNumberFormat="1" applyFont="1" applyFill="1" applyBorder="1" applyAlignment="1">
      <alignment horizontal="right"/>
    </xf>
    <xf numFmtId="187" fontId="5" fillId="6" borderId="1" xfId="46" applyNumberFormat="1" applyFont="1" applyFill="1" applyBorder="1" applyAlignment="1">
      <alignment horizontal="right"/>
    </xf>
    <xf numFmtId="181" fontId="0" fillId="3" borderId="2" xfId="46" applyFont="1" applyFill="1" applyBorder="1" applyAlignment="1">
      <alignment wrapText="1"/>
    </xf>
    <xf numFmtId="181" fontId="0" fillId="4" borderId="2" xfId="46" applyFont="1" applyFill="1" applyBorder="1" applyAlignment="1">
      <alignment wrapText="1"/>
    </xf>
    <xf numFmtId="186" fontId="0" fillId="4" borderId="2" xfId="9" applyNumberFormat="1" applyFont="1" applyFill="1" applyBorder="1" applyAlignment="1">
      <alignment horizontal="right"/>
    </xf>
    <xf numFmtId="181" fontId="0" fillId="3" borderId="2" xfId="46" applyFont="1" applyFill="1" applyBorder="1" applyAlignment="1">
      <alignment horizontal="right" wrapText="1"/>
    </xf>
    <xf numFmtId="186" fontId="0" fillId="3" borderId="2" xfId="9" applyNumberFormat="1" applyFont="1" applyFill="1" applyBorder="1" applyAlignment="1">
      <alignment horizontal="right"/>
    </xf>
    <xf numFmtId="181" fontId="0" fillId="3" borderId="2" xfId="46" applyFont="1" applyFill="1" applyBorder="1" applyAlignment="1">
      <alignment horizontal="left" wrapText="1"/>
    </xf>
    <xf numFmtId="187" fontId="0" fillId="0" borderId="1" xfId="46" applyNumberFormat="1" applyFont="1" applyFill="1" applyBorder="1" applyAlignment="1">
      <alignment horizontal="right"/>
    </xf>
    <xf numFmtId="181" fontId="3" fillId="0" borderId="0" xfId="46" applyFont="1"/>
    <xf numFmtId="184" fontId="3" fillId="0" borderId="0" xfId="46" applyNumberFormat="1" applyFont="1"/>
    <xf numFmtId="9" fontId="7" fillId="3" borderId="0" xfId="12" applyFont="1" applyFill="1" applyBorder="1" applyAlignment="1">
      <alignment horizontal="center" vertical="center" wrapText="1"/>
    </xf>
    <xf numFmtId="181" fontId="5" fillId="0" borderId="0" xfId="46" applyFont="1" applyBorder="1" applyAlignment="1">
      <alignment vertical="center" wrapText="1"/>
    </xf>
    <xf numFmtId="184" fontId="0" fillId="3" borderId="1" xfId="46" applyNumberFormat="1" applyFont="1" applyFill="1" applyBorder="1" applyAlignment="1">
      <alignment horizontal="center" vertical="center" wrapText="1"/>
    </xf>
    <xf numFmtId="9" fontId="0" fillId="3" borderId="1" xfId="12" applyFont="1" applyFill="1" applyBorder="1" applyAlignment="1">
      <alignment horizontal="center" vertical="center" wrapText="1"/>
    </xf>
    <xf numFmtId="177" fontId="0" fillId="3" borderId="1" xfId="46" applyNumberFormat="1" applyFont="1" applyFill="1" applyBorder="1" applyAlignment="1">
      <alignment horizontal="center" vertical="center" wrapText="1"/>
    </xf>
    <xf numFmtId="184" fontId="8" fillId="6" borderId="1" xfId="46" applyNumberFormat="1" applyFont="1" applyFill="1" applyBorder="1" applyAlignment="1">
      <alignment horizontal="center" vertical="center" wrapText="1"/>
    </xf>
    <xf numFmtId="181" fontId="9" fillId="0" borderId="0" xfId="46" applyFont="1"/>
    <xf numFmtId="181" fontId="9" fillId="0" borderId="0" xfId="46" applyFont="1" applyAlignment="1">
      <alignment horizontal="center"/>
    </xf>
    <xf numFmtId="181" fontId="4" fillId="0" borderId="0" xfId="46" applyFont="1" applyAlignment="1">
      <alignment horizontal="center"/>
    </xf>
    <xf numFmtId="186" fontId="6" fillId="3" borderId="0" xfId="9" applyNumberFormat="1" applyFont="1" applyFill="1" applyBorder="1" applyAlignment="1">
      <alignment horizontal="center" vertical="center" wrapText="1"/>
    </xf>
    <xf numFmtId="184" fontId="6" fillId="3" borderId="2" xfId="46" applyNumberFormat="1" applyFont="1" applyFill="1" applyBorder="1" applyAlignment="1">
      <alignment horizontal="center" vertical="center" wrapText="1"/>
    </xf>
    <xf numFmtId="9" fontId="6" fillId="3" borderId="2" xfId="12" applyFont="1" applyFill="1" applyBorder="1" applyAlignment="1">
      <alignment horizontal="center" vertical="center" wrapText="1"/>
    </xf>
    <xf numFmtId="188" fontId="0" fillId="0" borderId="0" xfId="46" applyNumberFormat="1" applyFont="1"/>
  </cellXfs>
  <cellStyles count="55">
    <cellStyle name="Обычный" xfId="0" builtinId="0"/>
    <cellStyle name="20% — Акцент3" xfId="1" builtinId="38"/>
    <cellStyle name="Денежный [0]" xfId="2" builtinId="7"/>
    <cellStyle name="Обычный 4" xfId="3"/>
    <cellStyle name="40% — Акцент5" xfId="4" builtinId="47"/>
    <cellStyle name="Хороший" xfId="5" builtinId="26"/>
    <cellStyle name="Запятая [0]" xfId="6" builtinId="6"/>
    <cellStyle name="Денежный" xfId="7" builtinId="4"/>
    <cellStyle name="Обычный 2 2" xfId="8"/>
    <cellStyle name="Запятая" xfId="9" builtinId="3"/>
    <cellStyle name="Обычный 5" xfId="10"/>
    <cellStyle name="40% — Акцент6" xfId="11" builtinId="51"/>
    <cellStyle name="Процент" xfId="12" builtinId="5"/>
    <cellStyle name="20% — Акцент2" xfId="13" builtinId="34"/>
    <cellStyle name="Итого" xfId="14" builtinId="25"/>
    <cellStyle name="Вывод" xfId="15" builtinId="21"/>
    <cellStyle name="Гиперссылка" xfId="16" builtinId="8"/>
    <cellStyle name="Обычный 3" xfId="17"/>
    <cellStyle name="40% — Акцент4" xfId="18" builtinId="43"/>
    <cellStyle name="Открывавшаяся гиперссылка" xfId="19" builtinId="9"/>
    <cellStyle name="Примечание" xfId="20" builtinId="10"/>
    <cellStyle name="Предупреждающий текст" xfId="21" builtinId="11"/>
    <cellStyle name="Заголовок" xfId="22" builtinId="15"/>
    <cellStyle name="Пояснительный текст" xfId="23" builtinId="53"/>
    <cellStyle name="Заголовок 1" xfId="24" builtinId="16"/>
    <cellStyle name="Заголовок 2" xfId="25" builtinId="17"/>
    <cellStyle name="Заголовок 3" xfId="26" builtinId="18"/>
    <cellStyle name="Currency" xfId="27"/>
    <cellStyle name="Заголовок 4" xfId="28" builtinId="19"/>
    <cellStyle name="Ввод" xfId="29" builtinId="20"/>
    <cellStyle name="Проверить ячейку" xfId="30" builtinId="23"/>
    <cellStyle name="Вычисление" xfId="31" builtinId="22"/>
    <cellStyle name="Связанная ячейка" xfId="32" builtinId="24"/>
    <cellStyle name="Плохой" xfId="33" builtinId="27"/>
    <cellStyle name="Акцент5" xfId="34" builtinId="45"/>
    <cellStyle name="Нейтральный" xfId="35" builtinId="28"/>
    <cellStyle name="Акцент1" xfId="36" builtinId="29"/>
    <cellStyle name="20% — Акцент1" xfId="37" builtinId="30"/>
    <cellStyle name="40% — Акцент1" xfId="38" builtinId="31"/>
    <cellStyle name="20% — Акцент5" xfId="39" builtinId="46"/>
    <cellStyle name="60% — Акцент1" xfId="40" builtinId="32"/>
    <cellStyle name="Акцент2" xfId="41" builtinId="33"/>
    <cellStyle name="40% — Акцент2" xfId="42" builtinId="35"/>
    <cellStyle name="20% — Акцент6" xfId="43" builtinId="50"/>
    <cellStyle name="60% — Акцент2" xfId="44" builtinId="36"/>
    <cellStyle name="Акцент3" xfId="45" builtinId="37"/>
    <cellStyle name="Обычный 2" xfId="46"/>
    <cellStyle name="40% — Акцент3" xfId="47" builtinId="39"/>
    <cellStyle name="60% — Акцент3" xfId="48" builtinId="40"/>
    <cellStyle name="Акцент4" xfId="49" builtinId="41"/>
    <cellStyle name="20% — Акцент4" xfId="50" builtinId="42"/>
    <cellStyle name="60% — Акцент4" xfId="51" builtinId="44"/>
    <cellStyle name="60% — Акцент5" xfId="52" builtinId="48"/>
    <cellStyle name="Акцент6" xfId="53" builtinId="49"/>
    <cellStyle name="60% — Акцент6" xfId="54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ru-RU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Москва</a:t>
            </a:r>
            <a:endParaRPr lang="ru-RU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4496062992126"/>
          <c:y val="0.182075823855351"/>
          <c:w val="0.832817147856518"/>
          <c:h val="0.77680373286672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elete val="1"/>
          </c:dLbls>
          <c:val>
            <c:numRef>
              <c:f>(СводныйМск!$C$11:$N$11,СводныйМск!$P$11:$AA$11,СводныйМск!$AC$11:$AN$11)</c:f>
              <c:numCache>
                <c:formatCode>#\ ##0_ ;\-#\ ##0\ 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numCache>
            </c:numRef>
          </c:val>
        </c:ser>
        <c:ser>
          <c:idx val="1"/>
          <c:order val="1"/>
          <c:tx>
            <c:strRef>
              <c:f>"Выручка"</c:f>
              <c:strCache>
                <c:ptCount val="1"/>
                <c:pt idx="0">
                  <c:v>Выручка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elete val="1"/>
          </c:dLbls>
          <c:val>
            <c:numRef>
              <c:f>(СводныйМск!$C$13:$N$13,СводныйМск!$P$13:$AA$13,СводныйМск!$AC$13:$AN$13)</c:f>
              <c:numCache>
                <c:formatCode>_-* #\ ##0_р_._-;\-* #\ ##0_р_._-;_-* "-"_р_._-;_-@_-</c:formatCode>
                <c:ptCount val="36"/>
                <c:pt idx="0">
                  <c:v>9450000</c:v>
                </c:pt>
                <c:pt idx="1">
                  <c:v>12600000</c:v>
                </c:pt>
                <c:pt idx="2">
                  <c:v>16800000</c:v>
                </c:pt>
                <c:pt idx="3">
                  <c:v>42000000</c:v>
                </c:pt>
                <c:pt idx="4">
                  <c:v>50400000</c:v>
                </c:pt>
                <c:pt idx="5">
                  <c:v>58800000</c:v>
                </c:pt>
                <c:pt idx="6">
                  <c:v>67200000</c:v>
                </c:pt>
                <c:pt idx="7">
                  <c:v>75600000</c:v>
                </c:pt>
                <c:pt idx="8">
                  <c:v>84000000</c:v>
                </c:pt>
                <c:pt idx="9">
                  <c:v>92400000</c:v>
                </c:pt>
                <c:pt idx="10">
                  <c:v>100800000</c:v>
                </c:pt>
                <c:pt idx="11">
                  <c:v>100800000</c:v>
                </c:pt>
                <c:pt idx="12">
                  <c:v>231046200</c:v>
                </c:pt>
                <c:pt idx="13">
                  <c:v>231046200</c:v>
                </c:pt>
                <c:pt idx="14">
                  <c:v>231046200</c:v>
                </c:pt>
                <c:pt idx="15">
                  <c:v>231046200</c:v>
                </c:pt>
                <c:pt idx="16">
                  <c:v>231046200</c:v>
                </c:pt>
                <c:pt idx="17">
                  <c:v>231046200</c:v>
                </c:pt>
                <c:pt idx="18">
                  <c:v>231046200</c:v>
                </c:pt>
                <c:pt idx="19">
                  <c:v>231046200</c:v>
                </c:pt>
                <c:pt idx="20">
                  <c:v>231046200</c:v>
                </c:pt>
                <c:pt idx="21">
                  <c:v>231046200</c:v>
                </c:pt>
                <c:pt idx="22">
                  <c:v>231046200</c:v>
                </c:pt>
                <c:pt idx="23">
                  <c:v>231046200</c:v>
                </c:pt>
                <c:pt idx="24">
                  <c:v>252050400</c:v>
                </c:pt>
                <c:pt idx="25">
                  <c:v>252050400</c:v>
                </c:pt>
                <c:pt idx="26">
                  <c:v>252050400</c:v>
                </c:pt>
                <c:pt idx="27">
                  <c:v>252050400</c:v>
                </c:pt>
                <c:pt idx="28">
                  <c:v>252050400</c:v>
                </c:pt>
                <c:pt idx="29">
                  <c:v>252050400</c:v>
                </c:pt>
                <c:pt idx="30">
                  <c:v>252050400</c:v>
                </c:pt>
                <c:pt idx="31">
                  <c:v>252050400</c:v>
                </c:pt>
                <c:pt idx="32">
                  <c:v>252050400</c:v>
                </c:pt>
                <c:pt idx="33">
                  <c:v>252050400</c:v>
                </c:pt>
                <c:pt idx="34">
                  <c:v>252050400</c:v>
                </c:pt>
                <c:pt idx="35">
                  <c:v>252050400</c:v>
                </c:pt>
              </c:numCache>
            </c:numRef>
          </c:val>
        </c:ser>
        <c:ser>
          <c:idx val="2"/>
          <c:order val="2"/>
          <c:tx>
            <c:strRef>
              <c:f>"Cash Flow"</c:f>
              <c:strCache>
                <c:ptCount val="1"/>
                <c:pt idx="0">
                  <c:v>Cash Flow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elete val="1"/>
          </c:dLbls>
          <c:val>
            <c:numRef>
              <c:f>(СводныйМск!$C$54:$N$54,СводныйМск!$P$54:$AA$54,СводныйМск!$AC$54:$AN$54)</c:f>
              <c:numCache>
                <c:formatCode>_-* #\ ##0_р_._-;\-* #\ ##0_р_._-;_-* "-"_р_._-;_-@_-</c:formatCode>
                <c:ptCount val="36"/>
                <c:pt idx="0">
                  <c:v>-53043746.6666667</c:v>
                </c:pt>
                <c:pt idx="1">
                  <c:v>-47133866.6666667</c:v>
                </c:pt>
                <c:pt idx="2">
                  <c:v>-44278666.6666667</c:v>
                </c:pt>
                <c:pt idx="3">
                  <c:v>-2169280</c:v>
                </c:pt>
                <c:pt idx="4">
                  <c:v>3541120</c:v>
                </c:pt>
                <c:pt idx="5">
                  <c:v>9251520</c:v>
                </c:pt>
                <c:pt idx="6">
                  <c:v>14961920</c:v>
                </c:pt>
                <c:pt idx="7">
                  <c:v>20672320</c:v>
                </c:pt>
                <c:pt idx="8">
                  <c:v>26382720</c:v>
                </c:pt>
                <c:pt idx="9">
                  <c:v>32093120</c:v>
                </c:pt>
                <c:pt idx="10">
                  <c:v>37803520</c:v>
                </c:pt>
                <c:pt idx="11">
                  <c:v>37803520</c:v>
                </c:pt>
                <c:pt idx="12">
                  <c:v>148920671.2</c:v>
                </c:pt>
                <c:pt idx="13">
                  <c:v>148920671.2</c:v>
                </c:pt>
                <c:pt idx="14">
                  <c:v>148920671.2</c:v>
                </c:pt>
                <c:pt idx="15">
                  <c:v>148920671.2</c:v>
                </c:pt>
                <c:pt idx="16">
                  <c:v>148920671.2</c:v>
                </c:pt>
                <c:pt idx="17">
                  <c:v>148920671.2</c:v>
                </c:pt>
                <c:pt idx="18">
                  <c:v>148920671.2</c:v>
                </c:pt>
                <c:pt idx="19">
                  <c:v>148920671.2</c:v>
                </c:pt>
                <c:pt idx="20">
                  <c:v>148920671.2</c:v>
                </c:pt>
                <c:pt idx="21">
                  <c:v>148920671.2</c:v>
                </c:pt>
                <c:pt idx="22">
                  <c:v>148920671.2</c:v>
                </c:pt>
                <c:pt idx="23">
                  <c:v>148920671.2</c:v>
                </c:pt>
                <c:pt idx="24">
                  <c:v>162483907.2</c:v>
                </c:pt>
                <c:pt idx="25">
                  <c:v>162483907.2</c:v>
                </c:pt>
                <c:pt idx="26">
                  <c:v>162483907.2</c:v>
                </c:pt>
                <c:pt idx="27">
                  <c:v>162483907.2</c:v>
                </c:pt>
                <c:pt idx="28">
                  <c:v>162483907.2</c:v>
                </c:pt>
                <c:pt idx="29">
                  <c:v>162483907.2</c:v>
                </c:pt>
                <c:pt idx="30">
                  <c:v>162483907.2</c:v>
                </c:pt>
                <c:pt idx="31">
                  <c:v>162483907.2</c:v>
                </c:pt>
                <c:pt idx="32">
                  <c:v>162483907.2</c:v>
                </c:pt>
                <c:pt idx="33">
                  <c:v>162483907.2</c:v>
                </c:pt>
                <c:pt idx="34">
                  <c:v>162483907.2</c:v>
                </c:pt>
                <c:pt idx="35">
                  <c:v>162483907.2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75"/>
        <c:axId val="163030144"/>
        <c:axId val="163031680"/>
      </c:barChart>
      <c:catAx>
        <c:axId val="1630301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63031680"/>
        <c:crosses val="autoZero"/>
        <c:auto val="1"/>
        <c:lblAlgn val="ctr"/>
        <c:lblOffset val="100"/>
        <c:noMultiLvlLbl val="0"/>
      </c:catAx>
      <c:valAx>
        <c:axId val="163031680"/>
        <c:scaling>
          <c:orientation val="minMax"/>
          <c:min val="-80000000"/>
        </c:scaling>
        <c:delete val="0"/>
        <c:axPos val="l"/>
        <c:majorGridlines/>
        <c:numFmt formatCode="#\ ##0_ ;\-#\ ##0\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63030144"/>
        <c:crosses val="autoZero"/>
        <c:crossBetween val="between"/>
      </c:valAx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335284776902887"/>
          <c:y val="0.103611256926218"/>
          <c:w val="0.329430446194226"/>
          <c:h val="0.0669737532808399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ru-RU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ru-RU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Эмираты</a:t>
            </a:r>
            <a:endParaRPr lang="ru-RU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4496062992126"/>
          <c:y val="0.182075823855351"/>
          <c:w val="0.832817147856518"/>
          <c:h val="0.77680373286672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elete val="1"/>
          </c:dLbls>
          <c:val>
            <c:numRef>
              <c:f>(СводныйДуб!$C$10:$N$10,СводныйДуб!$P$10:$AA$10,СводныйДуб!$AC$10:$AN$10)</c:f>
              <c:numCache>
                <c:formatCode>#\ ##0_ ;\-#\ ##0\ 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numCache>
            </c:numRef>
          </c:val>
        </c:ser>
        <c:ser>
          <c:idx val="1"/>
          <c:order val="1"/>
          <c:tx>
            <c:strRef>
              <c:f>"Выручка"</c:f>
              <c:strCache>
                <c:ptCount val="1"/>
                <c:pt idx="0">
                  <c:v>Выручка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elete val="1"/>
          </c:dLbls>
          <c:val>
            <c:numRef>
              <c:f>(СводныйДуб!$C$13:$N$13,СводныйДуб!$P$13:$AA$13,СводныйДуб!$AC$13:$AN$13)</c:f>
              <c:numCache>
                <c:formatCode>_-* #\ ##0_р_._-;\-* #\ ##0_р_._-;_-* "-"_р_._-;_-@_-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15000000</c:v>
                </c:pt>
                <c:pt idx="11">
                  <c:v>0</c:v>
                </c:pt>
                <c:pt idx="12">
                  <c:v>15000000</c:v>
                </c:pt>
                <c:pt idx="13">
                  <c:v>0</c:v>
                </c:pt>
                <c:pt idx="14">
                  <c:v>0</c:v>
                </c:pt>
                <c:pt idx="15">
                  <c:v>15000000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15000000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15000000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</c:ser>
        <c:ser>
          <c:idx val="2"/>
          <c:order val="2"/>
          <c:tx>
            <c:strRef>
              <c:f>"Cash Flow"</c:f>
              <c:strCache>
                <c:ptCount val="1"/>
                <c:pt idx="0">
                  <c:v>Cash Flow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elete val="1"/>
          </c:dLbls>
          <c:val>
            <c:numRef>
              <c:f>(СводныйДуб!$C$53:$N$53,СводныйДуб!$P$53:$AA$53,СводныйДуб!$AC$53:$AN$53)</c:f>
              <c:numCache>
                <c:formatCode>_-* #\ ##0_р_._-;\-* #\ ##0_р_._-;_-* "-"_р_._-;_-@_-</c:formatCode>
                <c:ptCount val="36"/>
                <c:pt idx="0">
                  <c:v>-1666666.66666667</c:v>
                </c:pt>
                <c:pt idx="1">
                  <c:v>-1666666.66666667</c:v>
                </c:pt>
                <c:pt idx="2">
                  <c:v>-1666666.66666667</c:v>
                </c:pt>
                <c:pt idx="3">
                  <c:v>-1666666.66666667</c:v>
                </c:pt>
                <c:pt idx="4">
                  <c:v>-1666666.66666667</c:v>
                </c:pt>
                <c:pt idx="5">
                  <c:v>-1666666.66666667</c:v>
                </c:pt>
                <c:pt idx="6">
                  <c:v>-1666666.66666667</c:v>
                </c:pt>
                <c:pt idx="7">
                  <c:v>-1666666.66666667</c:v>
                </c:pt>
                <c:pt idx="8">
                  <c:v>-1696380.95238095</c:v>
                </c:pt>
                <c:pt idx="9">
                  <c:v>-24317</c:v>
                </c:pt>
                <c:pt idx="10">
                  <c:v>11208036</c:v>
                </c:pt>
                <c:pt idx="11">
                  <c:v>-24317</c:v>
                </c:pt>
                <c:pt idx="12">
                  <c:v>11206839.6</c:v>
                </c:pt>
                <c:pt idx="13">
                  <c:v>0</c:v>
                </c:pt>
                <c:pt idx="14">
                  <c:v>-23558.7</c:v>
                </c:pt>
                <c:pt idx="15">
                  <c:v>11206839.6</c:v>
                </c:pt>
                <c:pt idx="16">
                  <c:v>0</c:v>
                </c:pt>
                <c:pt idx="17">
                  <c:v>0</c:v>
                </c:pt>
                <c:pt idx="18">
                  <c:v>-23558.7</c:v>
                </c:pt>
                <c:pt idx="19">
                  <c:v>11206839.6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-23558.7</c:v>
                </c:pt>
                <c:pt idx="24">
                  <c:v>11205643.2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-25700.4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75"/>
        <c:axId val="164136832"/>
        <c:axId val="164138368"/>
      </c:barChart>
      <c:catAx>
        <c:axId val="1641368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64138368"/>
        <c:crosses val="autoZero"/>
        <c:auto val="1"/>
        <c:lblAlgn val="ctr"/>
        <c:lblOffset val="100"/>
        <c:noMultiLvlLbl val="0"/>
      </c:catAx>
      <c:valAx>
        <c:axId val="164138368"/>
        <c:scaling>
          <c:orientation val="minMax"/>
        </c:scaling>
        <c:delete val="0"/>
        <c:axPos val="l"/>
        <c:majorGridlines/>
        <c:numFmt formatCode="#\ ##0_ ;\-#\ ##0\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64136832"/>
        <c:crosses val="autoZero"/>
        <c:crossBetween val="between"/>
      </c:valAx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335284776902887"/>
          <c:y val="0.103611256926218"/>
          <c:w val="0.329430446194226"/>
          <c:h val="0.0669737532808399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ru-RU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18</xdr:row>
      <xdr:rowOff>0</xdr:rowOff>
    </xdr:to>
    <xdr:graphicFrame>
      <xdr:nvGraphicFramePr>
        <xdr:cNvPr id="2" name="Диаграмма 1"/>
        <xdr:cNvGraphicFramePr/>
      </xdr:nvGraphicFramePr>
      <xdr:xfrm>
        <a:off x="0" y="0"/>
        <a:ext cx="4505325" cy="3429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15</xdr:col>
      <xdr:colOff>304800</xdr:colOff>
      <xdr:row>18</xdr:row>
      <xdr:rowOff>0</xdr:rowOff>
    </xdr:to>
    <xdr:graphicFrame>
      <xdr:nvGraphicFramePr>
        <xdr:cNvPr id="3" name="Диаграмма 2"/>
        <xdr:cNvGraphicFramePr/>
      </xdr:nvGraphicFramePr>
      <xdr:xfrm>
        <a:off x="4800600" y="0"/>
        <a:ext cx="4505325" cy="3429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ocuments\&#1055;&#1088;&#1086;&#1077;&#1082;&#1090;&#1099;\TerraVentura\&#1041;&#1102;&#1076;&#1078;&#1077;&#1090;\&#1041;&#1102;&#1076;&#1078;&#1077;&#1090;\&#1088;&#1072;&#1073;&#1086;&#1095;&#1080;&#1081;%20&#1084;&#1072;&#1090;&#1077;&#1088;&#1080;&#1072;&#1083;\Hotel_Financial_Model_2013_Complete_V6-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ntonio\Documents\&#1044;&#1086;&#1082;&#1091;&#1084;&#1077;&#1085;&#1090;&#1099;\TerraVentura\&#1041;&#1102;&#1076;&#1078;&#1077;&#1090;\&#1041;&#1102;&#1076;&#1078;&#1077;&#1090;\&#1088;&#1072;&#1073;&#1086;&#1095;&#1080;&#1081;%20&#1084;&#1072;&#1090;&#1077;&#1088;&#1080;&#1072;&#1083;\Hotel_Financial_Model_2013_Complete_V6-xl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Structure "/>
      <sheetName val="Guidance Notes "/>
      <sheetName val="Bespoke"/>
      <sheetName val="IP1"/>
      <sheetName val="IP2"/>
      <sheetName val="Sales"/>
      <sheetName val="OvrH"/>
      <sheetName val="P&amp;L"/>
      <sheetName val="BS"/>
      <sheetName val="Cash"/>
      <sheetName val="Summary"/>
      <sheetName val="CFlow"/>
      <sheetName val="Patterns"/>
      <sheetName val="OH"/>
      <sheetName val="Loans"/>
      <sheetName val="XLoan"/>
      <sheetName val="Leases"/>
      <sheetName val="XLease"/>
      <sheetName val="VAT"/>
      <sheetName val="Balances"/>
      <sheetName val="OH_sum"/>
      <sheetName val="Further Informat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Structure "/>
      <sheetName val="Guidance Notes "/>
      <sheetName val="Bespoke"/>
      <sheetName val="IP1"/>
      <sheetName val="IP2"/>
      <sheetName val="Sales"/>
      <sheetName val="OvrH"/>
      <sheetName val="P&amp;L"/>
      <sheetName val="BS"/>
      <sheetName val="Cash"/>
      <sheetName val="Summary"/>
      <sheetName val="CFlow"/>
      <sheetName val="Patterns"/>
      <sheetName val="OH"/>
      <sheetName val="Loans"/>
      <sheetName val="XLoan"/>
      <sheetName val="Leases"/>
      <sheetName val="XLease"/>
      <sheetName val="VAT"/>
      <sheetName val="Balances"/>
      <sheetName val="OH_sum"/>
      <sheetName val="Further Informat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85"/>
  <sheetViews>
    <sheetView zoomScale="80" zoomScaleNormal="80" zoomScaleSheetLayoutView="80" workbookViewId="0">
      <selection activeCell="B2" sqref="B2"/>
    </sheetView>
  </sheetViews>
  <sheetFormatPr defaultColWidth="9.14285714285714" defaultRowHeight="15.75"/>
  <cols>
    <col min="1" max="1" width="40" style="10" customWidth="1"/>
    <col min="2" max="2" width="14.8571428571429" style="10" customWidth="1"/>
    <col min="3" max="3" width="16.7142857142857" style="10" customWidth="1"/>
    <col min="4" max="14" width="15.2857142857143" style="10" customWidth="1"/>
    <col min="15" max="15" width="16" style="11" customWidth="1"/>
    <col min="16" max="27" width="18" style="10" customWidth="1"/>
    <col min="28" max="28" width="19.4285714285714" style="11" customWidth="1"/>
    <col min="29" max="40" width="15.1428571428571" style="10" customWidth="1"/>
    <col min="41" max="41" width="16" style="11" customWidth="1"/>
    <col min="42" max="16384" width="9.14285714285714" style="10"/>
  </cols>
  <sheetData>
    <row r="1" ht="19.5" customHeight="1" spans="1:26">
      <c r="A1" s="12" t="s">
        <v>0</v>
      </c>
      <c r="B1" s="13">
        <v>5</v>
      </c>
      <c r="C1" s="14"/>
      <c r="D1" s="14"/>
      <c r="E1" s="12" t="s">
        <v>1</v>
      </c>
      <c r="F1" s="12"/>
      <c r="G1" s="12"/>
      <c r="H1" s="15">
        <v>0.43</v>
      </c>
      <c r="I1" s="14"/>
      <c r="J1" s="16" t="s">
        <v>2</v>
      </c>
      <c r="K1" s="17"/>
      <c r="L1" s="18"/>
      <c r="M1" s="15">
        <v>0.2</v>
      </c>
      <c r="N1" s="14"/>
      <c r="O1" s="41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ht="19.5" customHeight="1" spans="1:26">
      <c r="A2" s="12" t="s">
        <v>3</v>
      </c>
      <c r="B2" s="13"/>
      <c r="C2" s="20"/>
      <c r="D2" s="14"/>
      <c r="E2" s="12" t="s">
        <v>4</v>
      </c>
      <c r="F2" s="12"/>
      <c r="G2" s="12"/>
      <c r="H2" s="15">
        <v>0.2</v>
      </c>
      <c r="I2" s="14"/>
      <c r="J2" s="16" t="s">
        <v>5</v>
      </c>
      <c r="K2" s="17"/>
      <c r="L2" s="18"/>
      <c r="M2" s="15">
        <v>0.1</v>
      </c>
      <c r="N2" s="14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ht="19.5" customHeight="1" spans="1:26">
      <c r="A3" s="12" t="s">
        <v>6</v>
      </c>
      <c r="B3" s="19">
        <v>0.05</v>
      </c>
      <c r="C3" s="14"/>
      <c r="E3" s="16" t="s">
        <v>7</v>
      </c>
      <c r="F3" s="17"/>
      <c r="G3" s="18"/>
      <c r="H3" s="15">
        <v>0.025</v>
      </c>
      <c r="I3" s="14"/>
      <c r="J3" s="16" t="s">
        <v>8</v>
      </c>
      <c r="K3" s="17"/>
      <c r="L3" s="18"/>
      <c r="M3" s="43">
        <f>SUM(СводныйДуб!C54:AN54)+SUM(СводныйДуб!AC54:AN54)/(M1-M2)</f>
        <v>104189900.17312</v>
      </c>
      <c r="N3" s="14"/>
      <c r="O3" s="41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ht="19.5" customHeight="1" spans="1:26">
      <c r="A4" s="12" t="s">
        <v>9</v>
      </c>
      <c r="B4" s="19">
        <v>0.1</v>
      </c>
      <c r="C4" s="14"/>
      <c r="D4" s="14"/>
      <c r="E4" s="16" t="s">
        <v>10</v>
      </c>
      <c r="F4" s="17"/>
      <c r="G4" s="18"/>
      <c r="H4" s="15">
        <v>0.01</v>
      </c>
      <c r="I4" s="14"/>
      <c r="J4" s="16" t="s">
        <v>11</v>
      </c>
      <c r="K4" s="17"/>
      <c r="L4" s="18"/>
      <c r="M4" s="44">
        <f>(O53+AB53+AO53)/(AO13+AB13+O13)</f>
        <v>0.544792976190476</v>
      </c>
      <c r="N4" s="14"/>
      <c r="O4" s="41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ht="19.5" customHeight="1" spans="1:26">
      <c r="A5" s="12" t="s">
        <v>12</v>
      </c>
      <c r="B5" s="13">
        <v>1500</v>
      </c>
      <c r="C5" s="50"/>
      <c r="D5" s="20"/>
      <c r="E5" s="16" t="s">
        <v>13</v>
      </c>
      <c r="F5" s="17"/>
      <c r="G5" s="18"/>
      <c r="H5" s="15">
        <v>0.005</v>
      </c>
      <c r="I5" s="14"/>
      <c r="J5" s="16" t="s">
        <v>14</v>
      </c>
      <c r="K5" s="17"/>
      <c r="L5" s="18"/>
      <c r="M5" s="43">
        <f>SUM(СводныйДуб!C54:AN54)</f>
        <v>28972296.0805959</v>
      </c>
      <c r="N5" s="14"/>
      <c r="O5" s="41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ht="19.5" customHeight="1" spans="1:26">
      <c r="A6" s="12" t="s">
        <v>15</v>
      </c>
      <c r="B6" s="19">
        <v>0.85</v>
      </c>
      <c r="C6" s="50"/>
      <c r="D6" s="14"/>
      <c r="E6" s="16" t="s">
        <v>16</v>
      </c>
      <c r="F6" s="17"/>
      <c r="G6" s="18"/>
      <c r="H6" s="15">
        <v>0.02</v>
      </c>
      <c r="I6" s="14"/>
      <c r="J6" s="16" t="s">
        <v>17</v>
      </c>
      <c r="K6" s="17"/>
      <c r="L6" s="18"/>
      <c r="M6" s="45">
        <f>(L53+M53+N53+AB53+AO53)/-SUM(C53:K53)</f>
        <v>3.71857950441031</v>
      </c>
      <c r="N6" s="14"/>
      <c r="O6" s="41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ht="19.5" customHeight="1" spans="1:26">
      <c r="A7" s="12" t="s">
        <v>18</v>
      </c>
      <c r="B7" s="19">
        <v>0.2</v>
      </c>
      <c r="C7" s="50"/>
      <c r="D7" s="14"/>
      <c r="E7" s="12" t="s">
        <v>19</v>
      </c>
      <c r="F7" s="12"/>
      <c r="G7" s="12"/>
      <c r="H7" s="15">
        <v>0.005</v>
      </c>
      <c r="I7" s="14"/>
      <c r="J7" s="16" t="s">
        <v>20</v>
      </c>
      <c r="K7" s="17"/>
      <c r="L7" s="18"/>
      <c r="M7" s="45">
        <v>13</v>
      </c>
      <c r="N7" s="14"/>
      <c r="O7" s="41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ht="19.5" customHeight="1" spans="1:26">
      <c r="A8" s="14"/>
      <c r="B8" s="14"/>
      <c r="C8" s="50"/>
      <c r="D8" s="14"/>
      <c r="E8" s="12" t="s">
        <v>21</v>
      </c>
      <c r="F8" s="12"/>
      <c r="G8" s="12"/>
      <c r="H8" s="13">
        <v>9</v>
      </c>
      <c r="I8" s="14"/>
      <c r="J8" s="14"/>
      <c r="K8" s="14"/>
      <c r="L8" s="14"/>
      <c r="M8" s="14"/>
      <c r="N8" s="14"/>
      <c r="O8" s="41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ht="19.5" customHeight="1" spans="1:26">
      <c r="A9" s="14"/>
      <c r="B9" s="14"/>
      <c r="C9" s="50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41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41">
      <c r="A10" s="23" t="s">
        <v>22</v>
      </c>
      <c r="B10" s="24"/>
      <c r="C10" s="25">
        <v>1</v>
      </c>
      <c r="D10" s="25">
        <v>2</v>
      </c>
      <c r="E10" s="25">
        <v>3</v>
      </c>
      <c r="F10" s="25">
        <v>4</v>
      </c>
      <c r="G10" s="25">
        <v>5</v>
      </c>
      <c r="H10" s="25">
        <v>6</v>
      </c>
      <c r="I10" s="25">
        <v>7</v>
      </c>
      <c r="J10" s="25">
        <v>8</v>
      </c>
      <c r="K10" s="25">
        <v>9</v>
      </c>
      <c r="L10" s="25">
        <v>10</v>
      </c>
      <c r="M10" s="25">
        <v>11</v>
      </c>
      <c r="N10" s="25">
        <v>12</v>
      </c>
      <c r="O10" s="46" t="s">
        <v>23</v>
      </c>
      <c r="P10" s="25">
        <v>13</v>
      </c>
      <c r="Q10" s="25">
        <v>14</v>
      </c>
      <c r="R10" s="25">
        <v>15</v>
      </c>
      <c r="S10" s="25">
        <v>16</v>
      </c>
      <c r="T10" s="25">
        <v>17</v>
      </c>
      <c r="U10" s="25">
        <v>18</v>
      </c>
      <c r="V10" s="25">
        <v>19</v>
      </c>
      <c r="W10" s="25">
        <v>20</v>
      </c>
      <c r="X10" s="25">
        <v>21</v>
      </c>
      <c r="Y10" s="25">
        <v>22</v>
      </c>
      <c r="Z10" s="25">
        <v>23</v>
      </c>
      <c r="AA10" s="25">
        <v>24</v>
      </c>
      <c r="AB10" s="46" t="s">
        <v>23</v>
      </c>
      <c r="AC10" s="25">
        <f>AA10+1</f>
        <v>25</v>
      </c>
      <c r="AD10" s="25">
        <f>AC10+1</f>
        <v>26</v>
      </c>
      <c r="AE10" s="25">
        <f t="shared" ref="AE10:AN10" si="0">AD10+1</f>
        <v>27</v>
      </c>
      <c r="AF10" s="25">
        <f t="shared" si="0"/>
        <v>28</v>
      </c>
      <c r="AG10" s="25">
        <f t="shared" si="0"/>
        <v>29</v>
      </c>
      <c r="AH10" s="25">
        <f t="shared" si="0"/>
        <v>30</v>
      </c>
      <c r="AI10" s="25">
        <f t="shared" si="0"/>
        <v>31</v>
      </c>
      <c r="AJ10" s="25">
        <f t="shared" si="0"/>
        <v>32</v>
      </c>
      <c r="AK10" s="25">
        <f t="shared" si="0"/>
        <v>33</v>
      </c>
      <c r="AL10" s="25">
        <f t="shared" si="0"/>
        <v>34</v>
      </c>
      <c r="AM10" s="25">
        <f t="shared" si="0"/>
        <v>35</v>
      </c>
      <c r="AN10" s="43">
        <f t="shared" si="0"/>
        <v>36</v>
      </c>
      <c r="AO10" s="46" t="s">
        <v>23</v>
      </c>
    </row>
    <row r="11" spans="1:41">
      <c r="A11" s="26" t="s">
        <v>24</v>
      </c>
      <c r="B11" s="24"/>
      <c r="C11" s="25">
        <f t="shared" ref="C11:N11" si="1">IF(C10&lt;$H8+1,0,IF(C10=$H8+1,$B1,20))</f>
        <v>0</v>
      </c>
      <c r="D11" s="25">
        <f t="shared" si="1"/>
        <v>0</v>
      </c>
      <c r="E11" s="25">
        <f t="shared" si="1"/>
        <v>0</v>
      </c>
      <c r="F11" s="25">
        <f t="shared" si="1"/>
        <v>0</v>
      </c>
      <c r="G11" s="25">
        <f t="shared" si="1"/>
        <v>0</v>
      </c>
      <c r="H11" s="25">
        <f t="shared" si="1"/>
        <v>0</v>
      </c>
      <c r="I11" s="25">
        <f t="shared" si="1"/>
        <v>0</v>
      </c>
      <c r="J11" s="25">
        <f t="shared" si="1"/>
        <v>0</v>
      </c>
      <c r="K11" s="25">
        <f t="shared" si="1"/>
        <v>0</v>
      </c>
      <c r="L11" s="25">
        <f t="shared" si="1"/>
        <v>5</v>
      </c>
      <c r="M11" s="25">
        <f t="shared" si="1"/>
        <v>20</v>
      </c>
      <c r="N11" s="25">
        <f t="shared" si="1"/>
        <v>20</v>
      </c>
      <c r="O11" s="46">
        <f>N11</f>
        <v>20</v>
      </c>
      <c r="P11" s="25">
        <f t="shared" ref="P11:AA11" si="2">IF(P10&lt;$H8+1,0,IF(P10=$H8+1,$B1,20))</f>
        <v>20</v>
      </c>
      <c r="Q11" s="25">
        <f t="shared" si="2"/>
        <v>20</v>
      </c>
      <c r="R11" s="25">
        <f t="shared" si="2"/>
        <v>20</v>
      </c>
      <c r="S11" s="25">
        <f t="shared" si="2"/>
        <v>20</v>
      </c>
      <c r="T11" s="25">
        <f t="shared" si="2"/>
        <v>20</v>
      </c>
      <c r="U11" s="25">
        <f t="shared" si="2"/>
        <v>20</v>
      </c>
      <c r="V11" s="25">
        <f t="shared" si="2"/>
        <v>20</v>
      </c>
      <c r="W11" s="25">
        <f t="shared" si="2"/>
        <v>20</v>
      </c>
      <c r="X11" s="25">
        <f t="shared" si="2"/>
        <v>20</v>
      </c>
      <c r="Y11" s="25">
        <f t="shared" si="2"/>
        <v>20</v>
      </c>
      <c r="Z11" s="25">
        <f t="shared" si="2"/>
        <v>20</v>
      </c>
      <c r="AA11" s="25">
        <f t="shared" si="2"/>
        <v>20</v>
      </c>
      <c r="AB11" s="46">
        <f>AA11</f>
        <v>20</v>
      </c>
      <c r="AC11" s="25">
        <f t="shared" ref="AC11:AN11" si="3">IF(AC10&lt;$H8+1,0,IF(AC10=$H8+1,$B1,20))</f>
        <v>20</v>
      </c>
      <c r="AD11" s="25">
        <f t="shared" si="3"/>
        <v>20</v>
      </c>
      <c r="AE11" s="25">
        <f t="shared" si="3"/>
        <v>20</v>
      </c>
      <c r="AF11" s="25">
        <f t="shared" si="3"/>
        <v>20</v>
      </c>
      <c r="AG11" s="25">
        <f t="shared" si="3"/>
        <v>20</v>
      </c>
      <c r="AH11" s="25">
        <f t="shared" si="3"/>
        <v>20</v>
      </c>
      <c r="AI11" s="25">
        <f t="shared" si="3"/>
        <v>20</v>
      </c>
      <c r="AJ11" s="25">
        <f t="shared" si="3"/>
        <v>20</v>
      </c>
      <c r="AK11" s="25">
        <f t="shared" si="3"/>
        <v>20</v>
      </c>
      <c r="AL11" s="25">
        <f t="shared" si="3"/>
        <v>20</v>
      </c>
      <c r="AM11" s="25">
        <f t="shared" si="3"/>
        <v>20</v>
      </c>
      <c r="AN11" s="25">
        <f t="shared" si="3"/>
        <v>20</v>
      </c>
      <c r="AO11" s="46">
        <f>AN11</f>
        <v>20</v>
      </c>
    </row>
    <row r="12" spans="1:41">
      <c r="A12" s="26" t="s">
        <v>25</v>
      </c>
      <c r="B12" s="24"/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1</v>
      </c>
      <c r="O12" s="46">
        <f>N12</f>
        <v>1</v>
      </c>
      <c r="P12" s="51">
        <v>1</v>
      </c>
      <c r="Q12" s="51">
        <v>2</v>
      </c>
      <c r="R12" s="51">
        <v>2</v>
      </c>
      <c r="S12" s="51">
        <v>2</v>
      </c>
      <c r="T12" s="51">
        <v>3</v>
      </c>
      <c r="U12" s="51">
        <v>3</v>
      </c>
      <c r="V12" s="51">
        <v>3</v>
      </c>
      <c r="W12" s="51">
        <v>3</v>
      </c>
      <c r="X12" s="51">
        <v>4</v>
      </c>
      <c r="Y12" s="51">
        <v>4</v>
      </c>
      <c r="Z12" s="51">
        <v>4</v>
      </c>
      <c r="AA12" s="51">
        <v>4</v>
      </c>
      <c r="AB12" s="46">
        <f>AA12</f>
        <v>4</v>
      </c>
      <c r="AC12" s="51">
        <v>4</v>
      </c>
      <c r="AD12" s="51">
        <v>5</v>
      </c>
      <c r="AE12" s="51">
        <v>5</v>
      </c>
      <c r="AF12" s="51">
        <v>5</v>
      </c>
      <c r="AG12" s="51">
        <v>5</v>
      </c>
      <c r="AH12" s="51">
        <v>5</v>
      </c>
      <c r="AI12" s="51">
        <v>5</v>
      </c>
      <c r="AJ12" s="51">
        <v>5</v>
      </c>
      <c r="AK12" s="51">
        <v>5</v>
      </c>
      <c r="AL12" s="51">
        <v>5</v>
      </c>
      <c r="AM12" s="51">
        <v>5</v>
      </c>
      <c r="AN12" s="51">
        <v>5</v>
      </c>
      <c r="AO12" s="46">
        <f>AN12</f>
        <v>5</v>
      </c>
    </row>
    <row r="13" s="7" customFormat="1" spans="1:41">
      <c r="A13" s="27" t="s">
        <v>26</v>
      </c>
      <c r="B13" s="27"/>
      <c r="C13" s="28">
        <f t="shared" ref="C13:N13" si="4">SUM(C14:C17)</f>
        <v>0</v>
      </c>
      <c r="D13" s="28">
        <f t="shared" si="4"/>
        <v>0</v>
      </c>
      <c r="E13" s="28">
        <f t="shared" si="4"/>
        <v>0</v>
      </c>
      <c r="F13" s="28">
        <f t="shared" si="4"/>
        <v>0</v>
      </c>
      <c r="G13" s="28">
        <f t="shared" si="4"/>
        <v>0</v>
      </c>
      <c r="H13" s="28">
        <f t="shared" si="4"/>
        <v>0</v>
      </c>
      <c r="I13" s="28">
        <f t="shared" si="4"/>
        <v>0</v>
      </c>
      <c r="J13" s="28">
        <f t="shared" si="4"/>
        <v>0</v>
      </c>
      <c r="K13" s="28">
        <f t="shared" si="4"/>
        <v>0</v>
      </c>
      <c r="L13" s="28">
        <f t="shared" si="4"/>
        <v>0</v>
      </c>
      <c r="M13" s="28">
        <f t="shared" si="4"/>
        <v>15000000</v>
      </c>
      <c r="N13" s="28">
        <f t="shared" si="4"/>
        <v>0</v>
      </c>
      <c r="O13" s="46">
        <f>SUM(C13:N13)</f>
        <v>15000000</v>
      </c>
      <c r="P13" s="28">
        <f t="shared" ref="P13:AA13" si="5">SUM(P14:P17)</f>
        <v>15000000</v>
      </c>
      <c r="Q13" s="28">
        <f t="shared" si="5"/>
        <v>0</v>
      </c>
      <c r="R13" s="28">
        <f t="shared" si="5"/>
        <v>0</v>
      </c>
      <c r="S13" s="28">
        <f t="shared" si="5"/>
        <v>15000000</v>
      </c>
      <c r="T13" s="28">
        <f t="shared" si="5"/>
        <v>0</v>
      </c>
      <c r="U13" s="28">
        <f t="shared" si="5"/>
        <v>0</v>
      </c>
      <c r="V13" s="28">
        <f t="shared" si="5"/>
        <v>0</v>
      </c>
      <c r="W13" s="28">
        <f t="shared" si="5"/>
        <v>15000000</v>
      </c>
      <c r="X13" s="28">
        <f t="shared" si="5"/>
        <v>0</v>
      </c>
      <c r="Y13" s="28">
        <f t="shared" si="5"/>
        <v>0</v>
      </c>
      <c r="Z13" s="28">
        <f t="shared" si="5"/>
        <v>0</v>
      </c>
      <c r="AA13" s="28">
        <f t="shared" si="5"/>
        <v>0</v>
      </c>
      <c r="AB13" s="46">
        <f>SUM(P13:AA13)</f>
        <v>45000000</v>
      </c>
      <c r="AC13" s="28">
        <f t="shared" ref="AC13:AN13" si="6">SUM(AC14:AC17)</f>
        <v>15000000</v>
      </c>
      <c r="AD13" s="28">
        <f t="shared" si="6"/>
        <v>0</v>
      </c>
      <c r="AE13" s="28">
        <f t="shared" si="6"/>
        <v>0</v>
      </c>
      <c r="AF13" s="28">
        <f t="shared" si="6"/>
        <v>0</v>
      </c>
      <c r="AG13" s="28">
        <f t="shared" si="6"/>
        <v>0</v>
      </c>
      <c r="AH13" s="28">
        <f t="shared" si="6"/>
        <v>0</v>
      </c>
      <c r="AI13" s="28">
        <f t="shared" si="6"/>
        <v>0</v>
      </c>
      <c r="AJ13" s="28">
        <f t="shared" si="6"/>
        <v>0</v>
      </c>
      <c r="AK13" s="28">
        <f t="shared" si="6"/>
        <v>0</v>
      </c>
      <c r="AL13" s="28">
        <f t="shared" si="6"/>
        <v>0</v>
      </c>
      <c r="AM13" s="28">
        <f t="shared" si="6"/>
        <v>0</v>
      </c>
      <c r="AN13" s="28">
        <f t="shared" si="6"/>
        <v>0</v>
      </c>
      <c r="AO13" s="46">
        <f>SUM(AC13:AN13)</f>
        <v>15000000</v>
      </c>
    </row>
    <row r="14" s="7" customFormat="1" spans="1:41">
      <c r="A14" s="29" t="s">
        <v>27</v>
      </c>
      <c r="B14" s="24"/>
      <c r="C14" s="30">
        <f t="shared" ref="C14:N16" si="7">IF(C51=0,C11*$B2,0)*$B6</f>
        <v>0</v>
      </c>
      <c r="D14" s="30">
        <f t="shared" si="7"/>
        <v>0</v>
      </c>
      <c r="E14" s="30">
        <f t="shared" si="7"/>
        <v>0</v>
      </c>
      <c r="F14" s="30">
        <f t="shared" si="7"/>
        <v>0</v>
      </c>
      <c r="G14" s="30">
        <f t="shared" si="7"/>
        <v>0</v>
      </c>
      <c r="H14" s="30">
        <f t="shared" si="7"/>
        <v>0</v>
      </c>
      <c r="I14" s="30">
        <f t="shared" si="7"/>
        <v>0</v>
      </c>
      <c r="J14" s="30">
        <f t="shared" si="7"/>
        <v>0</v>
      </c>
      <c r="K14" s="30">
        <f t="shared" si="7"/>
        <v>0</v>
      </c>
      <c r="L14" s="30">
        <f t="shared" si="7"/>
        <v>0</v>
      </c>
      <c r="M14" s="30">
        <f t="shared" si="7"/>
        <v>0</v>
      </c>
      <c r="N14" s="30">
        <f t="shared" si="7"/>
        <v>0</v>
      </c>
      <c r="O14" s="46">
        <f t="shared" ref="O14" si="8">SUM(C14:N14)</f>
        <v>0</v>
      </c>
      <c r="P14" s="30">
        <f t="shared" ref="P14:AA16" si="9">IF(P51=0,P11*$B2*(1+$B4),0)*$B6</f>
        <v>0</v>
      </c>
      <c r="Q14" s="30">
        <f t="shared" si="9"/>
        <v>0</v>
      </c>
      <c r="R14" s="30">
        <f t="shared" si="9"/>
        <v>0</v>
      </c>
      <c r="S14" s="30">
        <f t="shared" si="9"/>
        <v>0</v>
      </c>
      <c r="T14" s="30">
        <f t="shared" si="9"/>
        <v>0</v>
      </c>
      <c r="U14" s="30">
        <f t="shared" si="9"/>
        <v>0</v>
      </c>
      <c r="V14" s="30">
        <f t="shared" si="9"/>
        <v>0</v>
      </c>
      <c r="W14" s="30">
        <f t="shared" si="9"/>
        <v>0</v>
      </c>
      <c r="X14" s="30">
        <f t="shared" si="9"/>
        <v>0</v>
      </c>
      <c r="Y14" s="30">
        <f t="shared" si="9"/>
        <v>0</v>
      </c>
      <c r="Z14" s="30">
        <f t="shared" si="9"/>
        <v>0</v>
      </c>
      <c r="AA14" s="30">
        <f t="shared" si="9"/>
        <v>0</v>
      </c>
      <c r="AB14" s="46">
        <f t="shared" ref="AB14" si="10">SUM(P14:AA14)</f>
        <v>0</v>
      </c>
      <c r="AC14" s="30">
        <f t="shared" ref="AC14:AN16" si="11">IF(AC51=0,AC11*$B2*(1+$B4*2),0)*$B6</f>
        <v>0</v>
      </c>
      <c r="AD14" s="30">
        <f t="shared" si="11"/>
        <v>0</v>
      </c>
      <c r="AE14" s="30">
        <f t="shared" si="11"/>
        <v>0</v>
      </c>
      <c r="AF14" s="30">
        <f t="shared" si="11"/>
        <v>0</v>
      </c>
      <c r="AG14" s="30">
        <f t="shared" si="11"/>
        <v>0</v>
      </c>
      <c r="AH14" s="30">
        <f t="shared" si="11"/>
        <v>0</v>
      </c>
      <c r="AI14" s="30">
        <f t="shared" si="11"/>
        <v>0</v>
      </c>
      <c r="AJ14" s="30">
        <f t="shared" si="11"/>
        <v>0</v>
      </c>
      <c r="AK14" s="30">
        <f t="shared" si="11"/>
        <v>0</v>
      </c>
      <c r="AL14" s="30">
        <f t="shared" si="11"/>
        <v>0</v>
      </c>
      <c r="AM14" s="30">
        <f t="shared" si="11"/>
        <v>0</v>
      </c>
      <c r="AN14" s="30">
        <f t="shared" si="11"/>
        <v>0</v>
      </c>
      <c r="AO14" s="46">
        <f t="shared" ref="AO14" si="12">SUM(AC14:AN14)</f>
        <v>0</v>
      </c>
    </row>
    <row r="15" s="7" customFormat="1" spans="1:41">
      <c r="A15" s="29" t="s">
        <v>28</v>
      </c>
      <c r="B15" s="13">
        <v>15000000</v>
      </c>
      <c r="C15" s="30">
        <f>(D12-C12)*$B15</f>
        <v>0</v>
      </c>
      <c r="D15" s="30">
        <f t="shared" ref="D15:AN15" si="13">(E12-D12)*$B15</f>
        <v>0</v>
      </c>
      <c r="E15" s="30">
        <f t="shared" si="13"/>
        <v>0</v>
      </c>
      <c r="F15" s="30">
        <f t="shared" si="13"/>
        <v>0</v>
      </c>
      <c r="G15" s="30">
        <f t="shared" si="13"/>
        <v>0</v>
      </c>
      <c r="H15" s="30">
        <f t="shared" si="13"/>
        <v>0</v>
      </c>
      <c r="I15" s="30">
        <f t="shared" si="13"/>
        <v>0</v>
      </c>
      <c r="J15" s="30">
        <f t="shared" si="13"/>
        <v>0</v>
      </c>
      <c r="K15" s="30">
        <f t="shared" si="13"/>
        <v>0</v>
      </c>
      <c r="L15" s="30">
        <f t="shared" si="13"/>
        <v>0</v>
      </c>
      <c r="M15" s="30">
        <f t="shared" si="13"/>
        <v>15000000</v>
      </c>
      <c r="N15" s="30">
        <f t="shared" si="13"/>
        <v>0</v>
      </c>
      <c r="O15" s="46">
        <f t="shared" ref="O15:O16" si="14">SUM(C15:N15)</f>
        <v>15000000</v>
      </c>
      <c r="P15" s="30">
        <f t="shared" si="13"/>
        <v>15000000</v>
      </c>
      <c r="Q15" s="30">
        <f t="shared" si="13"/>
        <v>0</v>
      </c>
      <c r="R15" s="30">
        <f t="shared" si="13"/>
        <v>0</v>
      </c>
      <c r="S15" s="30">
        <f t="shared" si="13"/>
        <v>15000000</v>
      </c>
      <c r="T15" s="30">
        <f t="shared" si="13"/>
        <v>0</v>
      </c>
      <c r="U15" s="30">
        <f t="shared" si="13"/>
        <v>0</v>
      </c>
      <c r="V15" s="30">
        <f t="shared" si="13"/>
        <v>0</v>
      </c>
      <c r="W15" s="30">
        <f t="shared" si="13"/>
        <v>15000000</v>
      </c>
      <c r="X15" s="30">
        <f t="shared" si="13"/>
        <v>0</v>
      </c>
      <c r="Y15" s="30">
        <f t="shared" si="13"/>
        <v>0</v>
      </c>
      <c r="Z15" s="30">
        <f t="shared" si="13"/>
        <v>0</v>
      </c>
      <c r="AA15" s="30">
        <f t="shared" si="13"/>
        <v>0</v>
      </c>
      <c r="AB15" s="46">
        <f t="shared" ref="AB15:AB16" si="15">SUM(P15:AA15)</f>
        <v>45000000</v>
      </c>
      <c r="AC15" s="30">
        <f t="shared" si="13"/>
        <v>15000000</v>
      </c>
      <c r="AD15" s="30">
        <f t="shared" si="13"/>
        <v>0</v>
      </c>
      <c r="AE15" s="30">
        <f t="shared" si="13"/>
        <v>0</v>
      </c>
      <c r="AF15" s="30">
        <f t="shared" si="13"/>
        <v>0</v>
      </c>
      <c r="AG15" s="30">
        <f t="shared" si="13"/>
        <v>0</v>
      </c>
      <c r="AH15" s="30">
        <f t="shared" si="13"/>
        <v>0</v>
      </c>
      <c r="AI15" s="30">
        <f t="shared" si="13"/>
        <v>0</v>
      </c>
      <c r="AJ15" s="30">
        <f t="shared" si="13"/>
        <v>0</v>
      </c>
      <c r="AK15" s="30">
        <f t="shared" si="13"/>
        <v>0</v>
      </c>
      <c r="AL15" s="30">
        <f t="shared" si="13"/>
        <v>0</v>
      </c>
      <c r="AM15" s="30">
        <f t="shared" si="13"/>
        <v>0</v>
      </c>
      <c r="AN15" s="30">
        <f t="shared" si="13"/>
        <v>0</v>
      </c>
      <c r="AO15" s="46">
        <f t="shared" ref="AO15:AO16" si="16">SUM(AC15:AN15)</f>
        <v>15000000</v>
      </c>
    </row>
    <row r="16" s="7" customFormat="1" spans="1:41">
      <c r="A16" s="29" t="s">
        <v>29</v>
      </c>
      <c r="B16" s="52">
        <v>0.25</v>
      </c>
      <c r="C16" s="30"/>
      <c r="D16" s="30">
        <f>IF(C12=0,0,D14*C12*$B16)</f>
        <v>0</v>
      </c>
      <c r="E16" s="30">
        <f t="shared" ref="E16:P16" si="17">IF(D12=0,0,E14*D12*$B16)</f>
        <v>0</v>
      </c>
      <c r="F16" s="30">
        <f t="shared" si="17"/>
        <v>0</v>
      </c>
      <c r="G16" s="30">
        <f t="shared" si="17"/>
        <v>0</v>
      </c>
      <c r="H16" s="30">
        <f t="shared" si="17"/>
        <v>0</v>
      </c>
      <c r="I16" s="30">
        <f t="shared" si="17"/>
        <v>0</v>
      </c>
      <c r="J16" s="30">
        <f t="shared" si="17"/>
        <v>0</v>
      </c>
      <c r="K16" s="30">
        <f t="shared" si="17"/>
        <v>0</v>
      </c>
      <c r="L16" s="30">
        <f t="shared" si="17"/>
        <v>0</v>
      </c>
      <c r="M16" s="30">
        <f t="shared" si="17"/>
        <v>0</v>
      </c>
      <c r="N16" s="30">
        <f t="shared" si="17"/>
        <v>0</v>
      </c>
      <c r="O16" s="46">
        <f t="shared" si="14"/>
        <v>0</v>
      </c>
      <c r="P16" s="30">
        <f>IF(N12=0,0,P14*N12*$B16)</f>
        <v>0</v>
      </c>
      <c r="Q16" s="30">
        <f>IF(P12=0,0,Q14*P12*$B16)</f>
        <v>0</v>
      </c>
      <c r="R16" s="30">
        <f t="shared" ref="R16:AA16" si="18">IF(Q12=0,0,R14*Q12*$B16)</f>
        <v>0</v>
      </c>
      <c r="S16" s="30">
        <f t="shared" si="18"/>
        <v>0</v>
      </c>
      <c r="T16" s="30">
        <f t="shared" si="18"/>
        <v>0</v>
      </c>
      <c r="U16" s="30">
        <f t="shared" si="18"/>
        <v>0</v>
      </c>
      <c r="V16" s="30">
        <f t="shared" si="18"/>
        <v>0</v>
      </c>
      <c r="W16" s="30">
        <f t="shared" si="18"/>
        <v>0</v>
      </c>
      <c r="X16" s="30">
        <f t="shared" si="18"/>
        <v>0</v>
      </c>
      <c r="Y16" s="30">
        <f t="shared" si="18"/>
        <v>0</v>
      </c>
      <c r="Z16" s="30">
        <f t="shared" si="18"/>
        <v>0</v>
      </c>
      <c r="AA16" s="30">
        <f t="shared" si="18"/>
        <v>0</v>
      </c>
      <c r="AB16" s="46">
        <f t="shared" si="15"/>
        <v>0</v>
      </c>
      <c r="AC16" s="30">
        <f>IF(AA12=0,0,AC14*AA12*$B16)</f>
        <v>0</v>
      </c>
      <c r="AD16" s="30">
        <f>IF(AC12=0,0,AD14*AC12*$B16)</f>
        <v>0</v>
      </c>
      <c r="AE16" s="30">
        <f t="shared" ref="AE16:AN16" si="19">IF(AD12=0,0,AE14*AD12*$B16)</f>
        <v>0</v>
      </c>
      <c r="AF16" s="30">
        <f t="shared" si="19"/>
        <v>0</v>
      </c>
      <c r="AG16" s="30">
        <f t="shared" si="19"/>
        <v>0</v>
      </c>
      <c r="AH16" s="30">
        <f t="shared" si="19"/>
        <v>0</v>
      </c>
      <c r="AI16" s="30">
        <f t="shared" si="19"/>
        <v>0</v>
      </c>
      <c r="AJ16" s="30">
        <f t="shared" si="19"/>
        <v>0</v>
      </c>
      <c r="AK16" s="30">
        <f t="shared" si="19"/>
        <v>0</v>
      </c>
      <c r="AL16" s="30">
        <f t="shared" si="19"/>
        <v>0</v>
      </c>
      <c r="AM16" s="30">
        <f t="shared" si="19"/>
        <v>0</v>
      </c>
      <c r="AN16" s="30">
        <f t="shared" si="19"/>
        <v>0</v>
      </c>
      <c r="AO16" s="46">
        <f t="shared" si="16"/>
        <v>0</v>
      </c>
    </row>
    <row r="17" s="7" customFormat="1" spans="1:41">
      <c r="A17" s="29" t="s">
        <v>30</v>
      </c>
      <c r="B17" s="24"/>
      <c r="C17" s="30">
        <f t="shared" ref="C17:N17" si="20">C14*$B3</f>
        <v>0</v>
      </c>
      <c r="D17" s="30">
        <f t="shared" si="20"/>
        <v>0</v>
      </c>
      <c r="E17" s="30">
        <f t="shared" si="20"/>
        <v>0</v>
      </c>
      <c r="F17" s="30">
        <f t="shared" si="20"/>
        <v>0</v>
      </c>
      <c r="G17" s="30">
        <f t="shared" si="20"/>
        <v>0</v>
      </c>
      <c r="H17" s="30">
        <f t="shared" si="20"/>
        <v>0</v>
      </c>
      <c r="I17" s="30">
        <f t="shared" si="20"/>
        <v>0</v>
      </c>
      <c r="J17" s="30">
        <f t="shared" si="20"/>
        <v>0</v>
      </c>
      <c r="K17" s="30">
        <f t="shared" si="20"/>
        <v>0</v>
      </c>
      <c r="L17" s="30">
        <f t="shared" si="20"/>
        <v>0</v>
      </c>
      <c r="M17" s="30">
        <f t="shared" si="20"/>
        <v>0</v>
      </c>
      <c r="N17" s="30">
        <f t="shared" si="20"/>
        <v>0</v>
      </c>
      <c r="O17" s="46">
        <f t="shared" ref="O17:O53" si="21">SUM(C17:N17)</f>
        <v>0</v>
      </c>
      <c r="P17" s="30">
        <f t="shared" ref="P17:AA17" si="22">P14*$B3</f>
        <v>0</v>
      </c>
      <c r="Q17" s="30">
        <f t="shared" si="22"/>
        <v>0</v>
      </c>
      <c r="R17" s="30">
        <f t="shared" si="22"/>
        <v>0</v>
      </c>
      <c r="S17" s="30">
        <f t="shared" si="22"/>
        <v>0</v>
      </c>
      <c r="T17" s="30">
        <f t="shared" si="22"/>
        <v>0</v>
      </c>
      <c r="U17" s="30">
        <f t="shared" si="22"/>
        <v>0</v>
      </c>
      <c r="V17" s="30">
        <f t="shared" si="22"/>
        <v>0</v>
      </c>
      <c r="W17" s="30">
        <f t="shared" si="22"/>
        <v>0</v>
      </c>
      <c r="X17" s="30">
        <f t="shared" si="22"/>
        <v>0</v>
      </c>
      <c r="Y17" s="30">
        <f t="shared" si="22"/>
        <v>0</v>
      </c>
      <c r="Z17" s="30">
        <f t="shared" si="22"/>
        <v>0</v>
      </c>
      <c r="AA17" s="30">
        <f t="shared" si="22"/>
        <v>0</v>
      </c>
      <c r="AB17" s="46">
        <f t="shared" ref="AB17:AB53" si="23">SUM(P17:AA17)</f>
        <v>0</v>
      </c>
      <c r="AC17" s="30">
        <f t="shared" ref="AC17:AN17" si="24">AC14*$B3</f>
        <v>0</v>
      </c>
      <c r="AD17" s="30">
        <f t="shared" si="24"/>
        <v>0</v>
      </c>
      <c r="AE17" s="30">
        <f t="shared" si="24"/>
        <v>0</v>
      </c>
      <c r="AF17" s="30">
        <f t="shared" si="24"/>
        <v>0</v>
      </c>
      <c r="AG17" s="30">
        <f t="shared" si="24"/>
        <v>0</v>
      </c>
      <c r="AH17" s="30">
        <f t="shared" si="24"/>
        <v>0</v>
      </c>
      <c r="AI17" s="30">
        <f t="shared" si="24"/>
        <v>0</v>
      </c>
      <c r="AJ17" s="30">
        <f t="shared" si="24"/>
        <v>0</v>
      </c>
      <c r="AK17" s="30">
        <f t="shared" si="24"/>
        <v>0</v>
      </c>
      <c r="AL17" s="30">
        <f t="shared" si="24"/>
        <v>0</v>
      </c>
      <c r="AM17" s="30">
        <f t="shared" si="24"/>
        <v>0</v>
      </c>
      <c r="AN17" s="30">
        <f t="shared" si="24"/>
        <v>0</v>
      </c>
      <c r="AO17" s="46">
        <f t="shared" ref="AO17:AO53" si="25">SUM(AC17:AN17)</f>
        <v>0</v>
      </c>
    </row>
    <row r="18" spans="1:41">
      <c r="A18" s="27" t="s">
        <v>31</v>
      </c>
      <c r="B18" s="27"/>
      <c r="C18" s="31">
        <f t="shared" ref="C18:N18" si="26">SUM(C19:C21,C32:C35,C40:C45)</f>
        <v>0</v>
      </c>
      <c r="D18" s="31">
        <f t="shared" si="26"/>
        <v>0</v>
      </c>
      <c r="E18" s="31">
        <f t="shared" si="26"/>
        <v>0</v>
      </c>
      <c r="F18" s="31">
        <f t="shared" si="26"/>
        <v>0</v>
      </c>
      <c r="G18" s="31">
        <f t="shared" si="26"/>
        <v>0</v>
      </c>
      <c r="H18" s="31">
        <f t="shared" si="26"/>
        <v>0</v>
      </c>
      <c r="I18" s="31">
        <f t="shared" si="26"/>
        <v>0</v>
      </c>
      <c r="J18" s="31">
        <f t="shared" si="26"/>
        <v>0</v>
      </c>
      <c r="K18" s="31">
        <f t="shared" si="26"/>
        <v>0</v>
      </c>
      <c r="L18" s="31">
        <f t="shared" si="26"/>
        <v>19200</v>
      </c>
      <c r="M18" s="31">
        <f t="shared" si="26"/>
        <v>913020</v>
      </c>
      <c r="N18" s="31">
        <f t="shared" si="26"/>
        <v>19200</v>
      </c>
      <c r="O18" s="46">
        <f t="shared" si="21"/>
        <v>951420</v>
      </c>
      <c r="P18" s="31">
        <f t="shared" ref="P18:AA18" si="27">SUM(P19:P21,P32:P35,P40:P45)</f>
        <v>914322</v>
      </c>
      <c r="Q18" s="31">
        <f t="shared" si="27"/>
        <v>0</v>
      </c>
      <c r="R18" s="31">
        <f t="shared" si="27"/>
        <v>17930</v>
      </c>
      <c r="S18" s="31">
        <f t="shared" si="27"/>
        <v>914322</v>
      </c>
      <c r="T18" s="31">
        <f t="shared" si="27"/>
        <v>0</v>
      </c>
      <c r="U18" s="31">
        <f t="shared" si="27"/>
        <v>0</v>
      </c>
      <c r="V18" s="31">
        <f t="shared" si="27"/>
        <v>17930</v>
      </c>
      <c r="W18" s="31">
        <f t="shared" si="27"/>
        <v>914322</v>
      </c>
      <c r="X18" s="31">
        <f t="shared" si="27"/>
        <v>0</v>
      </c>
      <c r="Y18" s="31">
        <f t="shared" si="27"/>
        <v>0</v>
      </c>
      <c r="Z18" s="31">
        <f t="shared" si="27"/>
        <v>0</v>
      </c>
      <c r="AA18" s="31">
        <f t="shared" si="27"/>
        <v>17930</v>
      </c>
      <c r="AB18" s="46">
        <f t="shared" si="23"/>
        <v>2796756</v>
      </c>
      <c r="AC18" s="31">
        <f t="shared" ref="AC18:AN18" si="28">SUM(AC19:AC21,AC32:AC35,AC40:AC45)</f>
        <v>915624</v>
      </c>
      <c r="AD18" s="31">
        <f t="shared" si="28"/>
        <v>0</v>
      </c>
      <c r="AE18" s="31">
        <f t="shared" si="28"/>
        <v>0</v>
      </c>
      <c r="AF18" s="31">
        <f t="shared" si="28"/>
        <v>0</v>
      </c>
      <c r="AG18" s="31">
        <f t="shared" si="28"/>
        <v>0</v>
      </c>
      <c r="AH18" s="31">
        <f t="shared" si="28"/>
        <v>0</v>
      </c>
      <c r="AI18" s="31">
        <f t="shared" si="28"/>
        <v>0</v>
      </c>
      <c r="AJ18" s="31">
        <f t="shared" si="28"/>
        <v>0</v>
      </c>
      <c r="AK18" s="31">
        <f t="shared" si="28"/>
        <v>0</v>
      </c>
      <c r="AL18" s="31">
        <f t="shared" si="28"/>
        <v>0</v>
      </c>
      <c r="AM18" s="31">
        <f t="shared" si="28"/>
        <v>0</v>
      </c>
      <c r="AN18" s="31">
        <f t="shared" si="28"/>
        <v>19560</v>
      </c>
      <c r="AO18" s="46">
        <f t="shared" si="25"/>
        <v>935184</v>
      </c>
    </row>
    <row r="19" spans="1:41">
      <c r="A19" s="32" t="s">
        <v>32</v>
      </c>
      <c r="B19" s="33"/>
      <c r="C19" s="36">
        <f t="shared" ref="C19:N19" si="29">IF(D$13=0,0,$B5)</f>
        <v>0</v>
      </c>
      <c r="D19" s="36">
        <f t="shared" si="29"/>
        <v>0</v>
      </c>
      <c r="E19" s="36">
        <f t="shared" si="29"/>
        <v>0</v>
      </c>
      <c r="F19" s="36">
        <f t="shared" si="29"/>
        <v>0</v>
      </c>
      <c r="G19" s="36">
        <f t="shared" si="29"/>
        <v>0</v>
      </c>
      <c r="H19" s="36">
        <f t="shared" si="29"/>
        <v>0</v>
      </c>
      <c r="I19" s="36">
        <f t="shared" si="29"/>
        <v>0</v>
      </c>
      <c r="J19" s="36">
        <f t="shared" si="29"/>
        <v>0</v>
      </c>
      <c r="K19" s="36">
        <f t="shared" si="29"/>
        <v>0</v>
      </c>
      <c r="L19" s="36">
        <f t="shared" si="29"/>
        <v>1500</v>
      </c>
      <c r="M19" s="36">
        <f t="shared" si="29"/>
        <v>0</v>
      </c>
      <c r="N19" s="36">
        <f t="shared" si="29"/>
        <v>1500</v>
      </c>
      <c r="O19" s="46">
        <f t="shared" si="21"/>
        <v>3000</v>
      </c>
      <c r="P19" s="36">
        <f t="shared" ref="P19:AA19" si="30">IF(Q$13=0,0,$B5*(1+$B$4))</f>
        <v>0</v>
      </c>
      <c r="Q19" s="36">
        <f t="shared" si="30"/>
        <v>0</v>
      </c>
      <c r="R19" s="36">
        <f t="shared" si="30"/>
        <v>1650</v>
      </c>
      <c r="S19" s="36">
        <f t="shared" si="30"/>
        <v>0</v>
      </c>
      <c r="T19" s="36">
        <f t="shared" si="30"/>
        <v>0</v>
      </c>
      <c r="U19" s="36">
        <f t="shared" si="30"/>
        <v>0</v>
      </c>
      <c r="V19" s="36">
        <f t="shared" si="30"/>
        <v>1650</v>
      </c>
      <c r="W19" s="36">
        <f t="shared" si="30"/>
        <v>0</v>
      </c>
      <c r="X19" s="36">
        <f t="shared" si="30"/>
        <v>0</v>
      </c>
      <c r="Y19" s="36">
        <f t="shared" si="30"/>
        <v>0</v>
      </c>
      <c r="Z19" s="36">
        <f t="shared" si="30"/>
        <v>0</v>
      </c>
      <c r="AA19" s="36">
        <f t="shared" si="30"/>
        <v>1650</v>
      </c>
      <c r="AB19" s="46">
        <f t="shared" si="23"/>
        <v>4950</v>
      </c>
      <c r="AC19" s="36">
        <f t="shared" ref="AC19:AN19" si="31">IF(AD$13=0,0,$B5*(1+$B$4*2))</f>
        <v>0</v>
      </c>
      <c r="AD19" s="36">
        <f t="shared" si="31"/>
        <v>0</v>
      </c>
      <c r="AE19" s="36">
        <f t="shared" si="31"/>
        <v>0</v>
      </c>
      <c r="AF19" s="36">
        <f t="shared" si="31"/>
        <v>0</v>
      </c>
      <c r="AG19" s="36">
        <f t="shared" si="31"/>
        <v>0</v>
      </c>
      <c r="AH19" s="36">
        <f t="shared" si="31"/>
        <v>0</v>
      </c>
      <c r="AI19" s="36">
        <f t="shared" si="31"/>
        <v>0</v>
      </c>
      <c r="AJ19" s="36">
        <f t="shared" si="31"/>
        <v>0</v>
      </c>
      <c r="AK19" s="36">
        <f t="shared" si="31"/>
        <v>0</v>
      </c>
      <c r="AL19" s="36">
        <f t="shared" si="31"/>
        <v>0</v>
      </c>
      <c r="AM19" s="36">
        <f t="shared" si="31"/>
        <v>0</v>
      </c>
      <c r="AN19" s="36">
        <f t="shared" si="31"/>
        <v>1800</v>
      </c>
      <c r="AO19" s="46">
        <f t="shared" si="25"/>
        <v>1800</v>
      </c>
    </row>
    <row r="20" spans="1:41">
      <c r="A20" s="29" t="s">
        <v>33</v>
      </c>
      <c r="B20" s="24"/>
      <c r="C20" s="30">
        <f t="shared" ref="C20:N20" si="32">SUM(C14:C14)*$B7</f>
        <v>0</v>
      </c>
      <c r="D20" s="30">
        <f t="shared" si="32"/>
        <v>0</v>
      </c>
      <c r="E20" s="30">
        <f t="shared" si="32"/>
        <v>0</v>
      </c>
      <c r="F20" s="30">
        <f t="shared" si="32"/>
        <v>0</v>
      </c>
      <c r="G20" s="30">
        <f t="shared" si="32"/>
        <v>0</v>
      </c>
      <c r="H20" s="30">
        <f t="shared" si="32"/>
        <v>0</v>
      </c>
      <c r="I20" s="30">
        <f t="shared" si="32"/>
        <v>0</v>
      </c>
      <c r="J20" s="30">
        <f t="shared" si="32"/>
        <v>0</v>
      </c>
      <c r="K20" s="30">
        <f t="shared" si="32"/>
        <v>0</v>
      </c>
      <c r="L20" s="30">
        <f t="shared" si="32"/>
        <v>0</v>
      </c>
      <c r="M20" s="30">
        <f t="shared" si="32"/>
        <v>0</v>
      </c>
      <c r="N20" s="30">
        <f t="shared" si="32"/>
        <v>0</v>
      </c>
      <c r="O20" s="46">
        <f t="shared" si="21"/>
        <v>0</v>
      </c>
      <c r="P20" s="30">
        <f t="shared" ref="P20:AA20" si="33">SUM(P14:P14)*$B7</f>
        <v>0</v>
      </c>
      <c r="Q20" s="30">
        <f t="shared" si="33"/>
        <v>0</v>
      </c>
      <c r="R20" s="30">
        <f t="shared" si="33"/>
        <v>0</v>
      </c>
      <c r="S20" s="30">
        <f t="shared" si="33"/>
        <v>0</v>
      </c>
      <c r="T20" s="30">
        <f t="shared" si="33"/>
        <v>0</v>
      </c>
      <c r="U20" s="30">
        <f t="shared" si="33"/>
        <v>0</v>
      </c>
      <c r="V20" s="30">
        <f t="shared" si="33"/>
        <v>0</v>
      </c>
      <c r="W20" s="30">
        <f t="shared" si="33"/>
        <v>0</v>
      </c>
      <c r="X20" s="30">
        <f t="shared" si="33"/>
        <v>0</v>
      </c>
      <c r="Y20" s="30">
        <f t="shared" si="33"/>
        <v>0</v>
      </c>
      <c r="Z20" s="30">
        <f t="shared" si="33"/>
        <v>0</v>
      </c>
      <c r="AA20" s="30">
        <f t="shared" si="33"/>
        <v>0</v>
      </c>
      <c r="AB20" s="46">
        <f t="shared" si="23"/>
        <v>0</v>
      </c>
      <c r="AC20" s="30">
        <f t="shared" ref="AC20:AN20" si="34">SUM(AC14:AC14)*$B7</f>
        <v>0</v>
      </c>
      <c r="AD20" s="30">
        <f t="shared" si="34"/>
        <v>0</v>
      </c>
      <c r="AE20" s="30">
        <f t="shared" si="34"/>
        <v>0</v>
      </c>
      <c r="AF20" s="30">
        <f t="shared" si="34"/>
        <v>0</v>
      </c>
      <c r="AG20" s="30">
        <f t="shared" si="34"/>
        <v>0</v>
      </c>
      <c r="AH20" s="30">
        <f t="shared" si="34"/>
        <v>0</v>
      </c>
      <c r="AI20" s="30">
        <f t="shared" si="34"/>
        <v>0</v>
      </c>
      <c r="AJ20" s="30">
        <f t="shared" si="34"/>
        <v>0</v>
      </c>
      <c r="AK20" s="30">
        <f t="shared" si="34"/>
        <v>0</v>
      </c>
      <c r="AL20" s="30">
        <f t="shared" si="34"/>
        <v>0</v>
      </c>
      <c r="AM20" s="30">
        <f t="shared" si="34"/>
        <v>0</v>
      </c>
      <c r="AN20" s="30">
        <f t="shared" si="34"/>
        <v>0</v>
      </c>
      <c r="AO20" s="46">
        <f t="shared" si="25"/>
        <v>0</v>
      </c>
    </row>
    <row r="21" s="7" customFormat="1" spans="1:41">
      <c r="A21" s="33" t="s">
        <v>34</v>
      </c>
      <c r="B21" s="33"/>
      <c r="C21" s="34">
        <f t="shared" ref="C21:N21" si="35">SUM(C22:C31)</f>
        <v>0</v>
      </c>
      <c r="D21" s="34">
        <f t="shared" si="35"/>
        <v>0</v>
      </c>
      <c r="E21" s="34">
        <f t="shared" si="35"/>
        <v>0</v>
      </c>
      <c r="F21" s="34">
        <f t="shared" si="35"/>
        <v>0</v>
      </c>
      <c r="G21" s="34">
        <f t="shared" si="35"/>
        <v>0</v>
      </c>
      <c r="H21" s="34">
        <f t="shared" si="35"/>
        <v>0</v>
      </c>
      <c r="I21" s="34">
        <f t="shared" si="35"/>
        <v>0</v>
      </c>
      <c r="J21" s="34">
        <f t="shared" si="35"/>
        <v>0</v>
      </c>
      <c r="K21" s="34">
        <f t="shared" si="35"/>
        <v>0</v>
      </c>
      <c r="L21" s="34">
        <f t="shared" si="35"/>
        <v>11900</v>
      </c>
      <c r="M21" s="34">
        <f t="shared" si="35"/>
        <v>4500</v>
      </c>
      <c r="N21" s="34">
        <f t="shared" si="35"/>
        <v>11900</v>
      </c>
      <c r="O21" s="46">
        <f t="shared" si="21"/>
        <v>28300</v>
      </c>
      <c r="P21" s="34">
        <f t="shared" ref="P21:AA21" si="36">SUM(P22:P31)</f>
        <v>4950</v>
      </c>
      <c r="Q21" s="34">
        <f t="shared" si="36"/>
        <v>0</v>
      </c>
      <c r="R21" s="34">
        <f t="shared" si="36"/>
        <v>13090</v>
      </c>
      <c r="S21" s="34">
        <f t="shared" si="36"/>
        <v>4950</v>
      </c>
      <c r="T21" s="34">
        <f t="shared" si="36"/>
        <v>0</v>
      </c>
      <c r="U21" s="34">
        <f t="shared" si="36"/>
        <v>0</v>
      </c>
      <c r="V21" s="34">
        <f t="shared" si="36"/>
        <v>13090</v>
      </c>
      <c r="W21" s="34">
        <f t="shared" si="36"/>
        <v>4950</v>
      </c>
      <c r="X21" s="34">
        <f t="shared" si="36"/>
        <v>0</v>
      </c>
      <c r="Y21" s="34">
        <f t="shared" si="36"/>
        <v>0</v>
      </c>
      <c r="Z21" s="34">
        <f t="shared" si="36"/>
        <v>0</v>
      </c>
      <c r="AA21" s="34">
        <f t="shared" si="36"/>
        <v>13090</v>
      </c>
      <c r="AB21" s="46">
        <f t="shared" ref="AB21:AB31" si="37">SUM(P21:AA21)</f>
        <v>54120</v>
      </c>
      <c r="AC21" s="34">
        <f t="shared" ref="AC21:AN21" si="38">SUM(AC22:AC31)</f>
        <v>5400</v>
      </c>
      <c r="AD21" s="34">
        <f t="shared" si="38"/>
        <v>0</v>
      </c>
      <c r="AE21" s="34">
        <f t="shared" si="38"/>
        <v>0</v>
      </c>
      <c r="AF21" s="34">
        <f t="shared" si="38"/>
        <v>0</v>
      </c>
      <c r="AG21" s="34">
        <f t="shared" si="38"/>
        <v>0</v>
      </c>
      <c r="AH21" s="34">
        <f t="shared" si="38"/>
        <v>0</v>
      </c>
      <c r="AI21" s="34">
        <f t="shared" si="38"/>
        <v>0</v>
      </c>
      <c r="AJ21" s="34">
        <f t="shared" si="38"/>
        <v>0</v>
      </c>
      <c r="AK21" s="34">
        <f t="shared" si="38"/>
        <v>0</v>
      </c>
      <c r="AL21" s="34">
        <f t="shared" si="38"/>
        <v>0</v>
      </c>
      <c r="AM21" s="34">
        <f t="shared" si="38"/>
        <v>0</v>
      </c>
      <c r="AN21" s="34">
        <f t="shared" si="38"/>
        <v>14280</v>
      </c>
      <c r="AO21" s="46">
        <f t="shared" ref="AO21:AO31" si="39">SUM(AC21:AN21)</f>
        <v>19680</v>
      </c>
    </row>
    <row r="22" s="7" customFormat="1" spans="1:41">
      <c r="A22" s="35" t="s">
        <v>35</v>
      </c>
      <c r="B22" s="13">
        <v>2200</v>
      </c>
      <c r="C22" s="36">
        <f>IF(D$13=0,0,$B22)</f>
        <v>0</v>
      </c>
      <c r="D22" s="36">
        <f t="shared" ref="D22:N22" si="40">IF(E$13=0,0,$B22)</f>
        <v>0</v>
      </c>
      <c r="E22" s="36">
        <f t="shared" si="40"/>
        <v>0</v>
      </c>
      <c r="F22" s="36">
        <f t="shared" si="40"/>
        <v>0</v>
      </c>
      <c r="G22" s="36">
        <f t="shared" si="40"/>
        <v>0</v>
      </c>
      <c r="H22" s="36">
        <f t="shared" si="40"/>
        <v>0</v>
      </c>
      <c r="I22" s="36">
        <f t="shared" si="40"/>
        <v>0</v>
      </c>
      <c r="J22" s="36">
        <f t="shared" si="40"/>
        <v>0</v>
      </c>
      <c r="K22" s="36">
        <f t="shared" si="40"/>
        <v>0</v>
      </c>
      <c r="L22" s="36">
        <f t="shared" si="40"/>
        <v>2200</v>
      </c>
      <c r="M22" s="36">
        <f t="shared" si="40"/>
        <v>0</v>
      </c>
      <c r="N22" s="36">
        <f t="shared" si="40"/>
        <v>2200</v>
      </c>
      <c r="O22" s="46">
        <f t="shared" si="21"/>
        <v>4400</v>
      </c>
      <c r="P22" s="36">
        <f t="shared" ref="P22:AA22" si="41">IF(Q$13=0,0,$B22*(1+$B$4))</f>
        <v>0</v>
      </c>
      <c r="Q22" s="36">
        <f t="shared" si="41"/>
        <v>0</v>
      </c>
      <c r="R22" s="36">
        <f t="shared" si="41"/>
        <v>2420</v>
      </c>
      <c r="S22" s="36">
        <f t="shared" si="41"/>
        <v>0</v>
      </c>
      <c r="T22" s="36">
        <f t="shared" si="41"/>
        <v>0</v>
      </c>
      <c r="U22" s="36">
        <f t="shared" si="41"/>
        <v>0</v>
      </c>
      <c r="V22" s="36">
        <f t="shared" si="41"/>
        <v>2420</v>
      </c>
      <c r="W22" s="36">
        <f t="shared" si="41"/>
        <v>0</v>
      </c>
      <c r="X22" s="36">
        <f t="shared" si="41"/>
        <v>0</v>
      </c>
      <c r="Y22" s="36">
        <f t="shared" si="41"/>
        <v>0</v>
      </c>
      <c r="Z22" s="36">
        <f t="shared" si="41"/>
        <v>0</v>
      </c>
      <c r="AA22" s="36">
        <f t="shared" si="41"/>
        <v>2420</v>
      </c>
      <c r="AB22" s="46">
        <f t="shared" si="37"/>
        <v>7260</v>
      </c>
      <c r="AC22" s="36">
        <f t="shared" ref="AC22:AN22" si="42">IF(AD$13=0,0,$B22*(1+$B$4*2))</f>
        <v>0</v>
      </c>
      <c r="AD22" s="36">
        <f t="shared" si="42"/>
        <v>0</v>
      </c>
      <c r="AE22" s="36">
        <f t="shared" si="42"/>
        <v>0</v>
      </c>
      <c r="AF22" s="36">
        <f t="shared" si="42"/>
        <v>0</v>
      </c>
      <c r="AG22" s="36">
        <f t="shared" si="42"/>
        <v>0</v>
      </c>
      <c r="AH22" s="36">
        <f t="shared" si="42"/>
        <v>0</v>
      </c>
      <c r="AI22" s="36">
        <f t="shared" si="42"/>
        <v>0</v>
      </c>
      <c r="AJ22" s="36">
        <f t="shared" si="42"/>
        <v>0</v>
      </c>
      <c r="AK22" s="36">
        <f t="shared" si="42"/>
        <v>0</v>
      </c>
      <c r="AL22" s="36">
        <f t="shared" si="42"/>
        <v>0</v>
      </c>
      <c r="AM22" s="36">
        <f t="shared" si="42"/>
        <v>0</v>
      </c>
      <c r="AN22" s="36">
        <f t="shared" si="42"/>
        <v>2640</v>
      </c>
      <c r="AO22" s="46">
        <f t="shared" si="39"/>
        <v>2640</v>
      </c>
    </row>
    <row r="23" s="7" customFormat="1" spans="1:41">
      <c r="A23" s="35" t="s">
        <v>36</v>
      </c>
      <c r="B23" s="13">
        <v>1500</v>
      </c>
      <c r="C23" s="36">
        <f t="shared" ref="C23:N29" si="43">IF(D$13=0,0,$B23)</f>
        <v>0</v>
      </c>
      <c r="D23" s="36">
        <f t="shared" si="43"/>
        <v>0</v>
      </c>
      <c r="E23" s="36">
        <f t="shared" si="43"/>
        <v>0</v>
      </c>
      <c r="F23" s="36">
        <f t="shared" si="43"/>
        <v>0</v>
      </c>
      <c r="G23" s="36">
        <f t="shared" si="43"/>
        <v>0</v>
      </c>
      <c r="H23" s="36">
        <f t="shared" si="43"/>
        <v>0</v>
      </c>
      <c r="I23" s="36">
        <f t="shared" si="43"/>
        <v>0</v>
      </c>
      <c r="J23" s="36">
        <f t="shared" si="43"/>
        <v>0</v>
      </c>
      <c r="K23" s="36">
        <f t="shared" si="43"/>
        <v>0</v>
      </c>
      <c r="L23" s="36">
        <f t="shared" si="43"/>
        <v>1500</v>
      </c>
      <c r="M23" s="36">
        <f t="shared" si="43"/>
        <v>0</v>
      </c>
      <c r="N23" s="36">
        <f t="shared" si="43"/>
        <v>1500</v>
      </c>
      <c r="O23" s="46">
        <f t="shared" ref="O23" si="44">SUM(C23:N23)</f>
        <v>3000</v>
      </c>
      <c r="P23" s="36">
        <f t="shared" ref="P23:AA23" si="45">IF(Q$13=0,0,$B23*(1+$B$4))</f>
        <v>0</v>
      </c>
      <c r="Q23" s="36">
        <f t="shared" si="45"/>
        <v>0</v>
      </c>
      <c r="R23" s="36">
        <f t="shared" si="45"/>
        <v>1650</v>
      </c>
      <c r="S23" s="36">
        <f t="shared" si="45"/>
        <v>0</v>
      </c>
      <c r="T23" s="36">
        <f t="shared" si="45"/>
        <v>0</v>
      </c>
      <c r="U23" s="36">
        <f t="shared" si="45"/>
        <v>0</v>
      </c>
      <c r="V23" s="36">
        <f t="shared" si="45"/>
        <v>1650</v>
      </c>
      <c r="W23" s="36">
        <f t="shared" si="45"/>
        <v>0</v>
      </c>
      <c r="X23" s="36">
        <f t="shared" si="45"/>
        <v>0</v>
      </c>
      <c r="Y23" s="36">
        <f t="shared" si="45"/>
        <v>0</v>
      </c>
      <c r="Z23" s="36">
        <f t="shared" si="45"/>
        <v>0</v>
      </c>
      <c r="AA23" s="36">
        <f t="shared" si="45"/>
        <v>1650</v>
      </c>
      <c r="AB23" s="46">
        <f t="shared" ref="AB23:AB29" si="46">SUM(P23:AA23)</f>
        <v>4950</v>
      </c>
      <c r="AC23" s="36">
        <f t="shared" ref="AC23:AN23" si="47">IF(AD$13=0,0,$B23*(1+$B$4*2))</f>
        <v>0</v>
      </c>
      <c r="AD23" s="36">
        <f t="shared" si="47"/>
        <v>0</v>
      </c>
      <c r="AE23" s="36">
        <f t="shared" si="47"/>
        <v>0</v>
      </c>
      <c r="AF23" s="36">
        <f t="shared" si="47"/>
        <v>0</v>
      </c>
      <c r="AG23" s="36">
        <f t="shared" si="47"/>
        <v>0</v>
      </c>
      <c r="AH23" s="36">
        <f t="shared" si="47"/>
        <v>0</v>
      </c>
      <c r="AI23" s="36">
        <f t="shared" si="47"/>
        <v>0</v>
      </c>
      <c r="AJ23" s="36">
        <f t="shared" si="47"/>
        <v>0</v>
      </c>
      <c r="AK23" s="36">
        <f t="shared" si="47"/>
        <v>0</v>
      </c>
      <c r="AL23" s="36">
        <f t="shared" si="47"/>
        <v>0</v>
      </c>
      <c r="AM23" s="36">
        <f t="shared" si="47"/>
        <v>0</v>
      </c>
      <c r="AN23" s="36">
        <f t="shared" si="47"/>
        <v>1800</v>
      </c>
      <c r="AO23" s="46">
        <f t="shared" ref="AO23:AO29" si="48">SUM(AC23:AN23)</f>
        <v>1800</v>
      </c>
    </row>
    <row r="24" s="7" customFormat="1" spans="1:41">
      <c r="A24" s="35" t="s">
        <v>37</v>
      </c>
      <c r="B24" s="13">
        <v>1400</v>
      </c>
      <c r="C24" s="36">
        <f t="shared" si="43"/>
        <v>0</v>
      </c>
      <c r="D24" s="36">
        <f t="shared" si="43"/>
        <v>0</v>
      </c>
      <c r="E24" s="36">
        <f t="shared" si="43"/>
        <v>0</v>
      </c>
      <c r="F24" s="36">
        <f t="shared" si="43"/>
        <v>0</v>
      </c>
      <c r="G24" s="36">
        <f t="shared" si="43"/>
        <v>0</v>
      </c>
      <c r="H24" s="36">
        <f t="shared" si="43"/>
        <v>0</v>
      </c>
      <c r="I24" s="36">
        <f t="shared" si="43"/>
        <v>0</v>
      </c>
      <c r="J24" s="36">
        <f t="shared" si="43"/>
        <v>0</v>
      </c>
      <c r="K24" s="36">
        <f t="shared" si="43"/>
        <v>0</v>
      </c>
      <c r="L24" s="36">
        <f t="shared" si="43"/>
        <v>1400</v>
      </c>
      <c r="M24" s="36">
        <f t="shared" si="43"/>
        <v>0</v>
      </c>
      <c r="N24" s="36">
        <f t="shared" si="43"/>
        <v>1400</v>
      </c>
      <c r="O24" s="46">
        <f t="shared" ref="O24:O29" si="49">SUM(C24:N24)</f>
        <v>2800</v>
      </c>
      <c r="P24" s="36">
        <f t="shared" ref="P24:AA24" si="50">IF(Q$13=0,0,$B24*(1+$B$4))</f>
        <v>0</v>
      </c>
      <c r="Q24" s="36">
        <f t="shared" si="50"/>
        <v>0</v>
      </c>
      <c r="R24" s="36">
        <f t="shared" si="50"/>
        <v>1540</v>
      </c>
      <c r="S24" s="36">
        <f t="shared" si="50"/>
        <v>0</v>
      </c>
      <c r="T24" s="36">
        <f t="shared" si="50"/>
        <v>0</v>
      </c>
      <c r="U24" s="36">
        <f t="shared" si="50"/>
        <v>0</v>
      </c>
      <c r="V24" s="36">
        <f t="shared" si="50"/>
        <v>1540</v>
      </c>
      <c r="W24" s="36">
        <f t="shared" si="50"/>
        <v>0</v>
      </c>
      <c r="X24" s="36">
        <f t="shared" si="50"/>
        <v>0</v>
      </c>
      <c r="Y24" s="36">
        <f t="shared" si="50"/>
        <v>0</v>
      </c>
      <c r="Z24" s="36">
        <f t="shared" si="50"/>
        <v>0</v>
      </c>
      <c r="AA24" s="36">
        <f t="shared" si="50"/>
        <v>1540</v>
      </c>
      <c r="AB24" s="46">
        <f t="shared" si="46"/>
        <v>4620</v>
      </c>
      <c r="AC24" s="36">
        <f t="shared" ref="AC24:AN24" si="51">IF(AD$13=0,0,$B24*(1+$B$4*2))</f>
        <v>0</v>
      </c>
      <c r="AD24" s="36">
        <f t="shared" si="51"/>
        <v>0</v>
      </c>
      <c r="AE24" s="36">
        <f t="shared" si="51"/>
        <v>0</v>
      </c>
      <c r="AF24" s="36">
        <f t="shared" si="51"/>
        <v>0</v>
      </c>
      <c r="AG24" s="36">
        <f t="shared" si="51"/>
        <v>0</v>
      </c>
      <c r="AH24" s="36">
        <f t="shared" si="51"/>
        <v>0</v>
      </c>
      <c r="AI24" s="36">
        <f t="shared" si="51"/>
        <v>0</v>
      </c>
      <c r="AJ24" s="36">
        <f t="shared" si="51"/>
        <v>0</v>
      </c>
      <c r="AK24" s="36">
        <f t="shared" si="51"/>
        <v>0</v>
      </c>
      <c r="AL24" s="36">
        <f t="shared" si="51"/>
        <v>0</v>
      </c>
      <c r="AM24" s="36">
        <f t="shared" si="51"/>
        <v>0</v>
      </c>
      <c r="AN24" s="36">
        <f t="shared" si="51"/>
        <v>1680</v>
      </c>
      <c r="AO24" s="46">
        <f t="shared" si="48"/>
        <v>1680</v>
      </c>
    </row>
    <row r="25" s="7" customFormat="1" spans="1:41">
      <c r="A25" s="35" t="s">
        <v>38</v>
      </c>
      <c r="B25" s="13">
        <v>2000</v>
      </c>
      <c r="C25" s="36">
        <f t="shared" si="43"/>
        <v>0</v>
      </c>
      <c r="D25" s="36">
        <f t="shared" si="43"/>
        <v>0</v>
      </c>
      <c r="E25" s="36">
        <f t="shared" si="43"/>
        <v>0</v>
      </c>
      <c r="F25" s="36">
        <f t="shared" si="43"/>
        <v>0</v>
      </c>
      <c r="G25" s="36">
        <f t="shared" si="43"/>
        <v>0</v>
      </c>
      <c r="H25" s="36">
        <f t="shared" si="43"/>
        <v>0</v>
      </c>
      <c r="I25" s="36">
        <f t="shared" si="43"/>
        <v>0</v>
      </c>
      <c r="J25" s="36">
        <f t="shared" si="43"/>
        <v>0</v>
      </c>
      <c r="K25" s="36">
        <f t="shared" si="43"/>
        <v>0</v>
      </c>
      <c r="L25" s="36">
        <f t="shared" si="43"/>
        <v>2000</v>
      </c>
      <c r="M25" s="36">
        <f t="shared" si="43"/>
        <v>0</v>
      </c>
      <c r="N25" s="36">
        <f t="shared" si="43"/>
        <v>2000</v>
      </c>
      <c r="O25" s="46">
        <f t="shared" si="49"/>
        <v>4000</v>
      </c>
      <c r="P25" s="36">
        <f t="shared" ref="P25:AA25" si="52">IF(Q$13=0,0,$B25*(1+$B$4))</f>
        <v>0</v>
      </c>
      <c r="Q25" s="36">
        <f t="shared" si="52"/>
        <v>0</v>
      </c>
      <c r="R25" s="36">
        <f t="shared" si="52"/>
        <v>2200</v>
      </c>
      <c r="S25" s="36">
        <f t="shared" si="52"/>
        <v>0</v>
      </c>
      <c r="T25" s="36">
        <f t="shared" si="52"/>
        <v>0</v>
      </c>
      <c r="U25" s="36">
        <f t="shared" si="52"/>
        <v>0</v>
      </c>
      <c r="V25" s="36">
        <f t="shared" si="52"/>
        <v>2200</v>
      </c>
      <c r="W25" s="36">
        <f t="shared" si="52"/>
        <v>0</v>
      </c>
      <c r="X25" s="36">
        <f t="shared" si="52"/>
        <v>0</v>
      </c>
      <c r="Y25" s="36">
        <f t="shared" si="52"/>
        <v>0</v>
      </c>
      <c r="Z25" s="36">
        <f t="shared" si="52"/>
        <v>0</v>
      </c>
      <c r="AA25" s="36">
        <f t="shared" si="52"/>
        <v>2200</v>
      </c>
      <c r="AB25" s="46">
        <f t="shared" si="46"/>
        <v>6600</v>
      </c>
      <c r="AC25" s="36">
        <f t="shared" ref="AC25:AN25" si="53">IF(AD$13=0,0,$B25*(1+$B$4*2))</f>
        <v>0</v>
      </c>
      <c r="AD25" s="36">
        <f t="shared" si="53"/>
        <v>0</v>
      </c>
      <c r="AE25" s="36">
        <f t="shared" si="53"/>
        <v>0</v>
      </c>
      <c r="AF25" s="36">
        <f t="shared" si="53"/>
        <v>0</v>
      </c>
      <c r="AG25" s="36">
        <f t="shared" si="53"/>
        <v>0</v>
      </c>
      <c r="AH25" s="36">
        <f t="shared" si="53"/>
        <v>0</v>
      </c>
      <c r="AI25" s="36">
        <f t="shared" si="53"/>
        <v>0</v>
      </c>
      <c r="AJ25" s="36">
        <f t="shared" si="53"/>
        <v>0</v>
      </c>
      <c r="AK25" s="36">
        <f t="shared" si="53"/>
        <v>0</v>
      </c>
      <c r="AL25" s="36">
        <f t="shared" si="53"/>
        <v>0</v>
      </c>
      <c r="AM25" s="36">
        <f t="shared" si="53"/>
        <v>0</v>
      </c>
      <c r="AN25" s="36">
        <f t="shared" si="53"/>
        <v>2400</v>
      </c>
      <c r="AO25" s="46">
        <f t="shared" si="48"/>
        <v>2400</v>
      </c>
    </row>
    <row r="26" s="7" customFormat="1" spans="1:41">
      <c r="A26" s="35" t="s">
        <v>39</v>
      </c>
      <c r="B26" s="13">
        <v>1000</v>
      </c>
      <c r="C26" s="36">
        <f t="shared" si="43"/>
        <v>0</v>
      </c>
      <c r="D26" s="36">
        <f t="shared" si="43"/>
        <v>0</v>
      </c>
      <c r="E26" s="36">
        <f t="shared" si="43"/>
        <v>0</v>
      </c>
      <c r="F26" s="36">
        <f t="shared" si="43"/>
        <v>0</v>
      </c>
      <c r="G26" s="36">
        <f t="shared" si="43"/>
        <v>0</v>
      </c>
      <c r="H26" s="36">
        <f t="shared" si="43"/>
        <v>0</v>
      </c>
      <c r="I26" s="36">
        <f t="shared" si="43"/>
        <v>0</v>
      </c>
      <c r="J26" s="36">
        <f t="shared" si="43"/>
        <v>0</v>
      </c>
      <c r="K26" s="36">
        <f t="shared" si="43"/>
        <v>0</v>
      </c>
      <c r="L26" s="36">
        <f t="shared" si="43"/>
        <v>1000</v>
      </c>
      <c r="M26" s="36">
        <f t="shared" si="43"/>
        <v>0</v>
      </c>
      <c r="N26" s="36">
        <f t="shared" si="43"/>
        <v>1000</v>
      </c>
      <c r="O26" s="46">
        <f t="shared" si="49"/>
        <v>2000</v>
      </c>
      <c r="P26" s="36">
        <f t="shared" ref="P26:AA26" si="54">IF(Q$13=0,0,$B26*(1+$B$4))</f>
        <v>0</v>
      </c>
      <c r="Q26" s="36">
        <f t="shared" si="54"/>
        <v>0</v>
      </c>
      <c r="R26" s="36">
        <f t="shared" si="54"/>
        <v>1100</v>
      </c>
      <c r="S26" s="36">
        <f t="shared" si="54"/>
        <v>0</v>
      </c>
      <c r="T26" s="36">
        <f t="shared" si="54"/>
        <v>0</v>
      </c>
      <c r="U26" s="36">
        <f t="shared" si="54"/>
        <v>0</v>
      </c>
      <c r="V26" s="36">
        <f t="shared" si="54"/>
        <v>1100</v>
      </c>
      <c r="W26" s="36">
        <f t="shared" si="54"/>
        <v>0</v>
      </c>
      <c r="X26" s="36">
        <f t="shared" si="54"/>
        <v>0</v>
      </c>
      <c r="Y26" s="36">
        <f t="shared" si="54"/>
        <v>0</v>
      </c>
      <c r="Z26" s="36">
        <f t="shared" si="54"/>
        <v>0</v>
      </c>
      <c r="AA26" s="36">
        <f t="shared" si="54"/>
        <v>1100</v>
      </c>
      <c r="AB26" s="46">
        <f t="shared" si="46"/>
        <v>3300</v>
      </c>
      <c r="AC26" s="36">
        <f t="shared" ref="AC26:AN26" si="55">IF(AD$13=0,0,$B26*(1+$B$4*2))</f>
        <v>0</v>
      </c>
      <c r="AD26" s="36">
        <f t="shared" si="55"/>
        <v>0</v>
      </c>
      <c r="AE26" s="36">
        <f t="shared" si="55"/>
        <v>0</v>
      </c>
      <c r="AF26" s="36">
        <f t="shared" si="55"/>
        <v>0</v>
      </c>
      <c r="AG26" s="36">
        <f t="shared" si="55"/>
        <v>0</v>
      </c>
      <c r="AH26" s="36">
        <f t="shared" si="55"/>
        <v>0</v>
      </c>
      <c r="AI26" s="36">
        <f t="shared" si="55"/>
        <v>0</v>
      </c>
      <c r="AJ26" s="36">
        <f t="shared" si="55"/>
        <v>0</v>
      </c>
      <c r="AK26" s="36">
        <f t="shared" si="55"/>
        <v>0</v>
      </c>
      <c r="AL26" s="36">
        <f t="shared" si="55"/>
        <v>0</v>
      </c>
      <c r="AM26" s="36">
        <f t="shared" si="55"/>
        <v>0</v>
      </c>
      <c r="AN26" s="36">
        <f t="shared" si="55"/>
        <v>1200</v>
      </c>
      <c r="AO26" s="46">
        <f t="shared" si="48"/>
        <v>1200</v>
      </c>
    </row>
    <row r="27" s="7" customFormat="1" spans="1:41">
      <c r="A27" s="35" t="s">
        <v>40</v>
      </c>
      <c r="B27" s="13">
        <v>1700</v>
      </c>
      <c r="C27" s="36">
        <f t="shared" si="43"/>
        <v>0</v>
      </c>
      <c r="D27" s="36">
        <f t="shared" si="43"/>
        <v>0</v>
      </c>
      <c r="E27" s="36">
        <f t="shared" si="43"/>
        <v>0</v>
      </c>
      <c r="F27" s="36">
        <f t="shared" si="43"/>
        <v>0</v>
      </c>
      <c r="G27" s="36">
        <f t="shared" si="43"/>
        <v>0</v>
      </c>
      <c r="H27" s="36">
        <f t="shared" si="43"/>
        <v>0</v>
      </c>
      <c r="I27" s="36">
        <f t="shared" si="43"/>
        <v>0</v>
      </c>
      <c r="J27" s="36">
        <f t="shared" si="43"/>
        <v>0</v>
      </c>
      <c r="K27" s="36">
        <f t="shared" si="43"/>
        <v>0</v>
      </c>
      <c r="L27" s="36">
        <f t="shared" si="43"/>
        <v>1700</v>
      </c>
      <c r="M27" s="36">
        <f t="shared" si="43"/>
        <v>0</v>
      </c>
      <c r="N27" s="36">
        <f t="shared" si="43"/>
        <v>1700</v>
      </c>
      <c r="O27" s="46">
        <f t="shared" si="49"/>
        <v>3400</v>
      </c>
      <c r="P27" s="36">
        <f t="shared" ref="P27:AA27" si="56">IF(Q$13=0,0,$B27*(1+$B$4))</f>
        <v>0</v>
      </c>
      <c r="Q27" s="36">
        <f t="shared" si="56"/>
        <v>0</v>
      </c>
      <c r="R27" s="36">
        <f t="shared" si="56"/>
        <v>1870</v>
      </c>
      <c r="S27" s="36">
        <f t="shared" si="56"/>
        <v>0</v>
      </c>
      <c r="T27" s="36">
        <f t="shared" si="56"/>
        <v>0</v>
      </c>
      <c r="U27" s="36">
        <f t="shared" si="56"/>
        <v>0</v>
      </c>
      <c r="V27" s="36">
        <f t="shared" si="56"/>
        <v>1870</v>
      </c>
      <c r="W27" s="36">
        <f t="shared" si="56"/>
        <v>0</v>
      </c>
      <c r="X27" s="36">
        <f t="shared" si="56"/>
        <v>0</v>
      </c>
      <c r="Y27" s="36">
        <f t="shared" si="56"/>
        <v>0</v>
      </c>
      <c r="Z27" s="36">
        <f t="shared" si="56"/>
        <v>0</v>
      </c>
      <c r="AA27" s="36">
        <f t="shared" si="56"/>
        <v>1870</v>
      </c>
      <c r="AB27" s="46">
        <f t="shared" si="46"/>
        <v>5610</v>
      </c>
      <c r="AC27" s="36">
        <f t="shared" ref="AC27:AN27" si="57">IF(AD$13=0,0,$B27*(1+$B$4*2))</f>
        <v>0</v>
      </c>
      <c r="AD27" s="36">
        <f t="shared" si="57"/>
        <v>0</v>
      </c>
      <c r="AE27" s="36">
        <f t="shared" si="57"/>
        <v>0</v>
      </c>
      <c r="AF27" s="36">
        <f t="shared" si="57"/>
        <v>0</v>
      </c>
      <c r="AG27" s="36">
        <f t="shared" si="57"/>
        <v>0</v>
      </c>
      <c r="AH27" s="36">
        <f t="shared" si="57"/>
        <v>0</v>
      </c>
      <c r="AI27" s="36">
        <f t="shared" si="57"/>
        <v>0</v>
      </c>
      <c r="AJ27" s="36">
        <f t="shared" si="57"/>
        <v>0</v>
      </c>
      <c r="AK27" s="36">
        <f t="shared" si="57"/>
        <v>0</v>
      </c>
      <c r="AL27" s="36">
        <f t="shared" si="57"/>
        <v>0</v>
      </c>
      <c r="AM27" s="36">
        <f t="shared" si="57"/>
        <v>0</v>
      </c>
      <c r="AN27" s="36">
        <f t="shared" si="57"/>
        <v>2040</v>
      </c>
      <c r="AO27" s="46">
        <f t="shared" si="48"/>
        <v>2040</v>
      </c>
    </row>
    <row r="28" s="7" customFormat="1" spans="1:41">
      <c r="A28" s="35" t="s">
        <v>41</v>
      </c>
      <c r="B28" s="13">
        <v>1400</v>
      </c>
      <c r="C28" s="36">
        <f t="shared" si="43"/>
        <v>0</v>
      </c>
      <c r="D28" s="36">
        <f t="shared" si="43"/>
        <v>0</v>
      </c>
      <c r="E28" s="36">
        <f t="shared" si="43"/>
        <v>0</v>
      </c>
      <c r="F28" s="36">
        <f t="shared" si="43"/>
        <v>0</v>
      </c>
      <c r="G28" s="36">
        <f t="shared" si="43"/>
        <v>0</v>
      </c>
      <c r="H28" s="36">
        <f t="shared" si="43"/>
        <v>0</v>
      </c>
      <c r="I28" s="36">
        <f t="shared" si="43"/>
        <v>0</v>
      </c>
      <c r="J28" s="36">
        <f t="shared" si="43"/>
        <v>0</v>
      </c>
      <c r="K28" s="36">
        <f t="shared" si="43"/>
        <v>0</v>
      </c>
      <c r="L28" s="36">
        <f t="shared" si="43"/>
        <v>1400</v>
      </c>
      <c r="M28" s="36">
        <f t="shared" si="43"/>
        <v>0</v>
      </c>
      <c r="N28" s="36">
        <f t="shared" si="43"/>
        <v>1400</v>
      </c>
      <c r="O28" s="46">
        <f t="shared" si="49"/>
        <v>2800</v>
      </c>
      <c r="P28" s="36">
        <f t="shared" ref="P28:AA28" si="58">IF(Q$13=0,0,$B28*(1+$B$4))</f>
        <v>0</v>
      </c>
      <c r="Q28" s="36">
        <f t="shared" si="58"/>
        <v>0</v>
      </c>
      <c r="R28" s="36">
        <f t="shared" si="58"/>
        <v>1540</v>
      </c>
      <c r="S28" s="36">
        <f t="shared" si="58"/>
        <v>0</v>
      </c>
      <c r="T28" s="36">
        <f t="shared" si="58"/>
        <v>0</v>
      </c>
      <c r="U28" s="36">
        <f t="shared" si="58"/>
        <v>0</v>
      </c>
      <c r="V28" s="36">
        <f t="shared" si="58"/>
        <v>1540</v>
      </c>
      <c r="W28" s="36">
        <f t="shared" si="58"/>
        <v>0</v>
      </c>
      <c r="X28" s="36">
        <f t="shared" si="58"/>
        <v>0</v>
      </c>
      <c r="Y28" s="36">
        <f t="shared" si="58"/>
        <v>0</v>
      </c>
      <c r="Z28" s="36">
        <f t="shared" si="58"/>
        <v>0</v>
      </c>
      <c r="AA28" s="36">
        <f t="shared" si="58"/>
        <v>1540</v>
      </c>
      <c r="AB28" s="46">
        <f t="shared" si="46"/>
        <v>4620</v>
      </c>
      <c r="AC28" s="36">
        <f t="shared" ref="AC28:AN28" si="59">IF(AD$13=0,0,$B28*(1+$B$4*2))</f>
        <v>0</v>
      </c>
      <c r="AD28" s="36">
        <f t="shared" si="59"/>
        <v>0</v>
      </c>
      <c r="AE28" s="36">
        <f t="shared" si="59"/>
        <v>0</v>
      </c>
      <c r="AF28" s="36">
        <f t="shared" si="59"/>
        <v>0</v>
      </c>
      <c r="AG28" s="36">
        <f t="shared" si="59"/>
        <v>0</v>
      </c>
      <c r="AH28" s="36">
        <f t="shared" si="59"/>
        <v>0</v>
      </c>
      <c r="AI28" s="36">
        <f t="shared" si="59"/>
        <v>0</v>
      </c>
      <c r="AJ28" s="36">
        <f t="shared" si="59"/>
        <v>0</v>
      </c>
      <c r="AK28" s="36">
        <f t="shared" si="59"/>
        <v>0</v>
      </c>
      <c r="AL28" s="36">
        <f t="shared" si="59"/>
        <v>0</v>
      </c>
      <c r="AM28" s="36">
        <f t="shared" si="59"/>
        <v>0</v>
      </c>
      <c r="AN28" s="36">
        <f t="shared" si="59"/>
        <v>1680</v>
      </c>
      <c r="AO28" s="46">
        <f t="shared" si="48"/>
        <v>1680</v>
      </c>
    </row>
    <row r="29" s="7" customFormat="1" spans="1:41">
      <c r="A29" s="35" t="s">
        <v>42</v>
      </c>
      <c r="B29" s="13">
        <v>700</v>
      </c>
      <c r="C29" s="36">
        <f t="shared" si="43"/>
        <v>0</v>
      </c>
      <c r="D29" s="36">
        <f t="shared" si="43"/>
        <v>0</v>
      </c>
      <c r="E29" s="36">
        <f t="shared" si="43"/>
        <v>0</v>
      </c>
      <c r="F29" s="36">
        <f t="shared" si="43"/>
        <v>0</v>
      </c>
      <c r="G29" s="36">
        <f t="shared" si="43"/>
        <v>0</v>
      </c>
      <c r="H29" s="36">
        <f t="shared" si="43"/>
        <v>0</v>
      </c>
      <c r="I29" s="36">
        <f t="shared" si="43"/>
        <v>0</v>
      </c>
      <c r="J29" s="36">
        <f t="shared" si="43"/>
        <v>0</v>
      </c>
      <c r="K29" s="36">
        <f t="shared" si="43"/>
        <v>0</v>
      </c>
      <c r="L29" s="36">
        <f t="shared" si="43"/>
        <v>700</v>
      </c>
      <c r="M29" s="36">
        <f t="shared" si="43"/>
        <v>0</v>
      </c>
      <c r="N29" s="36">
        <f t="shared" si="43"/>
        <v>700</v>
      </c>
      <c r="O29" s="46">
        <f t="shared" si="49"/>
        <v>1400</v>
      </c>
      <c r="P29" s="36">
        <f t="shared" ref="P29:AA29" si="60">IF(Q$13=0,0,$B29*(1+$B$4))</f>
        <v>0</v>
      </c>
      <c r="Q29" s="36">
        <f t="shared" si="60"/>
        <v>0</v>
      </c>
      <c r="R29" s="36">
        <f t="shared" si="60"/>
        <v>770</v>
      </c>
      <c r="S29" s="36">
        <f t="shared" si="60"/>
        <v>0</v>
      </c>
      <c r="T29" s="36">
        <f t="shared" si="60"/>
        <v>0</v>
      </c>
      <c r="U29" s="36">
        <f t="shared" si="60"/>
        <v>0</v>
      </c>
      <c r="V29" s="36">
        <f t="shared" si="60"/>
        <v>770</v>
      </c>
      <c r="W29" s="36">
        <f t="shared" si="60"/>
        <v>0</v>
      </c>
      <c r="X29" s="36">
        <f t="shared" si="60"/>
        <v>0</v>
      </c>
      <c r="Y29" s="36">
        <f t="shared" si="60"/>
        <v>0</v>
      </c>
      <c r="Z29" s="36">
        <f t="shared" si="60"/>
        <v>0</v>
      </c>
      <c r="AA29" s="36">
        <f t="shared" si="60"/>
        <v>770</v>
      </c>
      <c r="AB29" s="46">
        <f t="shared" si="46"/>
        <v>2310</v>
      </c>
      <c r="AC29" s="36">
        <f t="shared" ref="AC29:AN29" si="61">IF(AD$13=0,0,$B29*(1+$B$4*2))</f>
        <v>0</v>
      </c>
      <c r="AD29" s="36">
        <f t="shared" si="61"/>
        <v>0</v>
      </c>
      <c r="AE29" s="36">
        <f t="shared" si="61"/>
        <v>0</v>
      </c>
      <c r="AF29" s="36">
        <f t="shared" si="61"/>
        <v>0</v>
      </c>
      <c r="AG29" s="36">
        <f t="shared" si="61"/>
        <v>0</v>
      </c>
      <c r="AH29" s="36">
        <f t="shared" si="61"/>
        <v>0</v>
      </c>
      <c r="AI29" s="36">
        <f t="shared" si="61"/>
        <v>0</v>
      </c>
      <c r="AJ29" s="36">
        <f t="shared" si="61"/>
        <v>0</v>
      </c>
      <c r="AK29" s="36">
        <f t="shared" si="61"/>
        <v>0</v>
      </c>
      <c r="AL29" s="36">
        <f t="shared" si="61"/>
        <v>0</v>
      </c>
      <c r="AM29" s="36">
        <f t="shared" si="61"/>
        <v>0</v>
      </c>
      <c r="AN29" s="36">
        <f t="shared" si="61"/>
        <v>840</v>
      </c>
      <c r="AO29" s="46">
        <f t="shared" si="48"/>
        <v>840</v>
      </c>
    </row>
    <row r="30" s="7" customFormat="1" spans="1:41">
      <c r="A30" s="35" t="s">
        <v>43</v>
      </c>
      <c r="B30" s="13">
        <v>1400</v>
      </c>
      <c r="C30" s="36">
        <f>IF(C$13=0,0,$B30*2)</f>
        <v>0</v>
      </c>
      <c r="D30" s="36">
        <f t="shared" ref="D30:N31" si="62">IF(D$13=0,0,$B30*2)</f>
        <v>0</v>
      </c>
      <c r="E30" s="36">
        <f t="shared" si="62"/>
        <v>0</v>
      </c>
      <c r="F30" s="36">
        <f t="shared" si="62"/>
        <v>0</v>
      </c>
      <c r="G30" s="36">
        <f t="shared" si="62"/>
        <v>0</v>
      </c>
      <c r="H30" s="36">
        <f t="shared" si="62"/>
        <v>0</v>
      </c>
      <c r="I30" s="36">
        <f t="shared" si="62"/>
        <v>0</v>
      </c>
      <c r="J30" s="36">
        <f t="shared" si="62"/>
        <v>0</v>
      </c>
      <c r="K30" s="36">
        <f t="shared" si="62"/>
        <v>0</v>
      </c>
      <c r="L30" s="36">
        <f t="shared" si="62"/>
        <v>0</v>
      </c>
      <c r="M30" s="36">
        <f t="shared" si="62"/>
        <v>2800</v>
      </c>
      <c r="N30" s="36">
        <f t="shared" si="62"/>
        <v>0</v>
      </c>
      <c r="O30" s="46">
        <f t="shared" si="21"/>
        <v>2800</v>
      </c>
      <c r="P30" s="36">
        <f>IF(P$13=0,0,$B30*2*(1+$B$4))</f>
        <v>3080</v>
      </c>
      <c r="Q30" s="36">
        <f>IF(Q$13=0,0,$B30*2*(1+$B$4))</f>
        <v>0</v>
      </c>
      <c r="R30" s="36">
        <f>IF(R$13=0,0,$B30*2*(1+$B$4))</f>
        <v>0</v>
      </c>
      <c r="S30" s="36">
        <f>IF(S$13=0,0,$B30*2*(1+$B$4))</f>
        <v>3080</v>
      </c>
      <c r="T30" s="36">
        <f>IF(T$13=0,0,$B30*2*(1+$B$4))</f>
        <v>0</v>
      </c>
      <c r="U30" s="36">
        <f>IF(U$13=0,0,$B30*2*(1+$B$4))</f>
        <v>0</v>
      </c>
      <c r="V30" s="36">
        <f>IF(V$13=0,0,$B30*2*(1+$B$4))</f>
        <v>0</v>
      </c>
      <c r="W30" s="36">
        <f>IF(W$13=0,0,$B30*2*(1+$B$4))</f>
        <v>3080</v>
      </c>
      <c r="X30" s="36">
        <f>IF(X$13=0,0,$B30*2*(1+$B$4))</f>
        <v>0</v>
      </c>
      <c r="Y30" s="36">
        <f>IF(Y$13=0,0,$B30*2*(1+$B$4))</f>
        <v>0</v>
      </c>
      <c r="Z30" s="36">
        <f>IF(Z$13=0,0,$B30*2*(1+$B$4))</f>
        <v>0</v>
      </c>
      <c r="AA30" s="36">
        <f>IF(AA$13=0,0,$B30*2*(1+$B$4))</f>
        <v>0</v>
      </c>
      <c r="AB30" s="46">
        <f t="shared" si="37"/>
        <v>9240</v>
      </c>
      <c r="AC30" s="36">
        <f>IF(AC$13=0,0,$B30*2*(1+$B$4*2))</f>
        <v>3360</v>
      </c>
      <c r="AD30" s="36">
        <f>IF(AD$13=0,0,$B30*2*(1+$B$4*2))</f>
        <v>0</v>
      </c>
      <c r="AE30" s="36">
        <f>IF(AE$13=0,0,$B30*2*(1+$B$4*2))</f>
        <v>0</v>
      </c>
      <c r="AF30" s="36">
        <f>IF(AF$13=0,0,$B30*2*(1+$B$4*2))</f>
        <v>0</v>
      </c>
      <c r="AG30" s="36">
        <f>IF(AG$13=0,0,$B30*2*(1+$B$4*2))</f>
        <v>0</v>
      </c>
      <c r="AH30" s="36">
        <f>IF(AH$13=0,0,$B30*2*(1+$B$4*2))</f>
        <v>0</v>
      </c>
      <c r="AI30" s="36">
        <f>IF(AI$13=0,0,$B30*2*(1+$B$4*2))</f>
        <v>0</v>
      </c>
      <c r="AJ30" s="36">
        <f>IF(AJ$13=0,0,$B30*2*(1+$B$4*2))</f>
        <v>0</v>
      </c>
      <c r="AK30" s="36">
        <f>IF(AK$13=0,0,$B30*2*(1+$B$4*2))</f>
        <v>0</v>
      </c>
      <c r="AL30" s="36">
        <f>IF(AL$13=0,0,$B30*2*(1+$B$4*2))</f>
        <v>0</v>
      </c>
      <c r="AM30" s="36">
        <f>IF(AM$13=0,0,$B30*2*(1+$B$4*2))</f>
        <v>0</v>
      </c>
      <c r="AN30" s="36">
        <f>IF(AN$13=0,0,$B30*2*(1+$B$4*2))</f>
        <v>0</v>
      </c>
      <c r="AO30" s="46">
        <f t="shared" si="39"/>
        <v>3360</v>
      </c>
    </row>
    <row r="31" s="7" customFormat="1" spans="1:41">
      <c r="A31" s="35" t="s">
        <v>44</v>
      </c>
      <c r="B31" s="13">
        <v>850</v>
      </c>
      <c r="C31" s="36">
        <f>IF(C$13=0,0,$B31*2)</f>
        <v>0</v>
      </c>
      <c r="D31" s="36">
        <f t="shared" si="62"/>
        <v>0</v>
      </c>
      <c r="E31" s="36">
        <f t="shared" si="62"/>
        <v>0</v>
      </c>
      <c r="F31" s="36">
        <f t="shared" si="62"/>
        <v>0</v>
      </c>
      <c r="G31" s="36">
        <f t="shared" si="62"/>
        <v>0</v>
      </c>
      <c r="H31" s="36">
        <f t="shared" si="62"/>
        <v>0</v>
      </c>
      <c r="I31" s="36">
        <f t="shared" si="62"/>
        <v>0</v>
      </c>
      <c r="J31" s="36">
        <f t="shared" si="62"/>
        <v>0</v>
      </c>
      <c r="K31" s="36">
        <f t="shared" si="62"/>
        <v>0</v>
      </c>
      <c r="L31" s="36">
        <f t="shared" si="62"/>
        <v>0</v>
      </c>
      <c r="M31" s="36">
        <f t="shared" si="62"/>
        <v>1700</v>
      </c>
      <c r="N31" s="36">
        <f t="shared" si="62"/>
        <v>0</v>
      </c>
      <c r="O31" s="46">
        <f t="shared" si="21"/>
        <v>1700</v>
      </c>
      <c r="P31" s="36">
        <f>IF(P$13=0,0,$B31*2*(1+$B$4))</f>
        <v>1870</v>
      </c>
      <c r="Q31" s="36">
        <f>IF(Q$13=0,0,$B31*2*(1+$B$4))</f>
        <v>0</v>
      </c>
      <c r="R31" s="36">
        <f>IF(R$13=0,0,$B31*2*(1+$B$4))</f>
        <v>0</v>
      </c>
      <c r="S31" s="36">
        <f>IF(S$13=0,0,$B31*2*(1+$B$4))</f>
        <v>1870</v>
      </c>
      <c r="T31" s="36">
        <f>IF(T$13=0,0,$B31*2*(1+$B$4))</f>
        <v>0</v>
      </c>
      <c r="U31" s="36">
        <f>IF(U$13=0,0,$B31*2*(1+$B$4))</f>
        <v>0</v>
      </c>
      <c r="V31" s="36">
        <f>IF(V$13=0,0,$B31*2*(1+$B$4))</f>
        <v>0</v>
      </c>
      <c r="W31" s="36">
        <f>IF(W$13=0,0,$B31*2*(1+$B$4))</f>
        <v>1870</v>
      </c>
      <c r="X31" s="36">
        <f>IF(X$13=0,0,$B31*2*(1+$B$4))</f>
        <v>0</v>
      </c>
      <c r="Y31" s="36">
        <f>IF(Y$13=0,0,$B31*2*(1+$B$4))</f>
        <v>0</v>
      </c>
      <c r="Z31" s="36">
        <f>IF(Z$13=0,0,$B31*2*(1+$B$4))</f>
        <v>0</v>
      </c>
      <c r="AA31" s="36">
        <f>IF(AA$13=0,0,$B31*2*(1+$B$4))</f>
        <v>0</v>
      </c>
      <c r="AB31" s="46">
        <f t="shared" si="37"/>
        <v>5610</v>
      </c>
      <c r="AC31" s="36">
        <f>IF(AC$13=0,0,$B31*2*(1+$B$4*2))</f>
        <v>2040</v>
      </c>
      <c r="AD31" s="36">
        <f>IF(AD$13=0,0,$B31*2*(1+$B$4*2))</f>
        <v>0</v>
      </c>
      <c r="AE31" s="36">
        <f>IF(AE$13=0,0,$B31*2*(1+$B$4*2))</f>
        <v>0</v>
      </c>
      <c r="AF31" s="36">
        <f>IF(AF$13=0,0,$B31*2*(1+$B$4*2))</f>
        <v>0</v>
      </c>
      <c r="AG31" s="36">
        <f>IF(AG$13=0,0,$B31*2*(1+$B$4*2))</f>
        <v>0</v>
      </c>
      <c r="AH31" s="36">
        <f>IF(AH$13=0,0,$B31*2*(1+$B$4*2))</f>
        <v>0</v>
      </c>
      <c r="AI31" s="36">
        <f>IF(AI$13=0,0,$B31*2*(1+$B$4*2))</f>
        <v>0</v>
      </c>
      <c r="AJ31" s="36">
        <f>IF(AJ$13=0,0,$B31*2*(1+$B$4*2))</f>
        <v>0</v>
      </c>
      <c r="AK31" s="36">
        <f>IF(AK$13=0,0,$B31*2*(1+$B$4*2))</f>
        <v>0</v>
      </c>
      <c r="AL31" s="36">
        <f>IF(AL$13=0,0,$B31*2*(1+$B$4*2))</f>
        <v>0</v>
      </c>
      <c r="AM31" s="36">
        <f>IF(AM$13=0,0,$B31*2*(1+$B$4*2))</f>
        <v>0</v>
      </c>
      <c r="AN31" s="36">
        <f>IF(AN$13=0,0,$B31*2*(1+$B$4*2))</f>
        <v>0</v>
      </c>
      <c r="AO31" s="46">
        <f t="shared" si="39"/>
        <v>2040</v>
      </c>
    </row>
    <row r="32" s="7" customFormat="1" spans="1:41">
      <c r="A32" s="37" t="s">
        <v>45</v>
      </c>
      <c r="B32" s="13">
        <v>4500</v>
      </c>
      <c r="C32" s="36">
        <f t="shared" ref="C32:N34" si="63">IF(C$13=0,0,$B32)</f>
        <v>0</v>
      </c>
      <c r="D32" s="36">
        <f t="shared" si="63"/>
        <v>0</v>
      </c>
      <c r="E32" s="36">
        <f t="shared" si="63"/>
        <v>0</v>
      </c>
      <c r="F32" s="36">
        <f t="shared" si="63"/>
        <v>0</v>
      </c>
      <c r="G32" s="36">
        <f t="shared" si="63"/>
        <v>0</v>
      </c>
      <c r="H32" s="36">
        <f t="shared" si="63"/>
        <v>0</v>
      </c>
      <c r="I32" s="36">
        <f t="shared" si="63"/>
        <v>0</v>
      </c>
      <c r="J32" s="36">
        <f t="shared" si="63"/>
        <v>0</v>
      </c>
      <c r="K32" s="36">
        <f t="shared" si="63"/>
        <v>0</v>
      </c>
      <c r="L32" s="36">
        <f t="shared" si="63"/>
        <v>0</v>
      </c>
      <c r="M32" s="36">
        <f t="shared" si="63"/>
        <v>4500</v>
      </c>
      <c r="N32" s="36">
        <f t="shared" si="63"/>
        <v>0</v>
      </c>
      <c r="O32" s="46">
        <f t="shared" ref="O32:O39" si="64">SUM(C32:N32)</f>
        <v>4500</v>
      </c>
      <c r="P32" s="36">
        <f>IF(P$13=0,0,$B32*(1+$B$4))</f>
        <v>4950</v>
      </c>
      <c r="Q32" s="36">
        <f>IF(Q$13=0,0,$B32*(1+$B$4))</f>
        <v>0</v>
      </c>
      <c r="R32" s="36">
        <f>IF(R$13=0,0,$B32*(1+$B$4))</f>
        <v>0</v>
      </c>
      <c r="S32" s="36">
        <f>IF(S$13=0,0,$B32*(1+$B$4))</f>
        <v>4950</v>
      </c>
      <c r="T32" s="36">
        <f>IF(T$13=0,0,$B32*(1+$B$4))</f>
        <v>0</v>
      </c>
      <c r="U32" s="36">
        <f>IF(U$13=0,0,$B32*(1+$B$4))</f>
        <v>0</v>
      </c>
      <c r="V32" s="36">
        <f>IF(V$13=0,0,$B32*(1+$B$4))</f>
        <v>0</v>
      </c>
      <c r="W32" s="36">
        <f>IF(W$13=0,0,$B32*(1+$B$4))</f>
        <v>4950</v>
      </c>
      <c r="X32" s="36">
        <f>IF(X$13=0,0,$B32*(1+$B$4))</f>
        <v>0</v>
      </c>
      <c r="Y32" s="36">
        <f>IF(Y$13=0,0,$B32*(1+$B$4))</f>
        <v>0</v>
      </c>
      <c r="Z32" s="36">
        <f>IF(Z$13=0,0,$B32*(1+$B$4))</f>
        <v>0</v>
      </c>
      <c r="AA32" s="36">
        <f>IF(AA$13=0,0,$B32*(1+$B$4))</f>
        <v>0</v>
      </c>
      <c r="AB32" s="46">
        <f t="shared" ref="AB32:AB39" si="65">SUM(P32:AA32)</f>
        <v>14850</v>
      </c>
      <c r="AC32" s="36">
        <f>IF(AC$13=0,0,$B32*(1+$B$4*2))</f>
        <v>5400</v>
      </c>
      <c r="AD32" s="36">
        <f>IF(AD$13=0,0,$B32*(1+$B$4*2))</f>
        <v>0</v>
      </c>
      <c r="AE32" s="36">
        <f>IF(AE$13=0,0,$B32*(1+$B$4*2))</f>
        <v>0</v>
      </c>
      <c r="AF32" s="36">
        <f>IF(AF$13=0,0,$B32*(1+$B$4*2))</f>
        <v>0</v>
      </c>
      <c r="AG32" s="36">
        <f>IF(AG$13=0,0,$B32*(1+$B$4*2))</f>
        <v>0</v>
      </c>
      <c r="AH32" s="36">
        <f>IF(AH$13=0,0,$B32*(1+$B$4*2))</f>
        <v>0</v>
      </c>
      <c r="AI32" s="36">
        <f>IF(AI$13=0,0,$B32*(1+$B$4*2))</f>
        <v>0</v>
      </c>
      <c r="AJ32" s="36">
        <f>IF(AJ$13=0,0,$B32*(1+$B$4*2))</f>
        <v>0</v>
      </c>
      <c r="AK32" s="36">
        <f>IF(AK$13=0,0,$B32*(1+$B$4*2))</f>
        <v>0</v>
      </c>
      <c r="AL32" s="36">
        <f>IF(AL$13=0,0,$B32*(1+$B$4*2))</f>
        <v>0</v>
      </c>
      <c r="AM32" s="36">
        <f>IF(AM$13=0,0,$B32*(1+$B$4*2))</f>
        <v>0</v>
      </c>
      <c r="AN32" s="36">
        <f>IF(AN$13=0,0,$B32*(1+$B$4*2))</f>
        <v>0</v>
      </c>
      <c r="AO32" s="46">
        <f t="shared" ref="AO32:AO39" si="66">SUM(AC32:AN32)</f>
        <v>5400</v>
      </c>
    </row>
    <row r="33" s="7" customFormat="1" spans="1:41">
      <c r="A33" s="37" t="s">
        <v>46</v>
      </c>
      <c r="B33" s="13">
        <v>1500</v>
      </c>
      <c r="C33" s="36">
        <f t="shared" si="63"/>
        <v>0</v>
      </c>
      <c r="D33" s="36">
        <f t="shared" si="63"/>
        <v>0</v>
      </c>
      <c r="E33" s="36">
        <f t="shared" si="63"/>
        <v>0</v>
      </c>
      <c r="F33" s="36">
        <f t="shared" si="63"/>
        <v>0</v>
      </c>
      <c r="G33" s="36">
        <f t="shared" si="63"/>
        <v>0</v>
      </c>
      <c r="H33" s="36">
        <f t="shared" si="63"/>
        <v>0</v>
      </c>
      <c r="I33" s="36">
        <f t="shared" si="63"/>
        <v>0</v>
      </c>
      <c r="J33" s="36">
        <f t="shared" si="63"/>
        <v>0</v>
      </c>
      <c r="K33" s="36">
        <f t="shared" si="63"/>
        <v>0</v>
      </c>
      <c r="L33" s="36">
        <f t="shared" si="63"/>
        <v>0</v>
      </c>
      <c r="M33" s="36">
        <f t="shared" si="63"/>
        <v>1500</v>
      </c>
      <c r="N33" s="36">
        <f t="shared" si="63"/>
        <v>0</v>
      </c>
      <c r="O33" s="46">
        <f t="shared" si="64"/>
        <v>1500</v>
      </c>
      <c r="P33" s="36">
        <f>IF(P$13=0,0,$B33*(1+$B$4))</f>
        <v>1650</v>
      </c>
      <c r="Q33" s="36">
        <f>IF(Q$13=0,0,$B33*(1+$B$4))</f>
        <v>0</v>
      </c>
      <c r="R33" s="36">
        <f>IF(R$13=0,0,$B33*(1+$B$4))</f>
        <v>0</v>
      </c>
      <c r="S33" s="36">
        <f>IF(S$13=0,0,$B33*(1+$B$4))</f>
        <v>1650</v>
      </c>
      <c r="T33" s="36">
        <f>IF(T$13=0,0,$B33*(1+$B$4))</f>
        <v>0</v>
      </c>
      <c r="U33" s="36">
        <f>IF(U$13=0,0,$B33*(1+$B$4))</f>
        <v>0</v>
      </c>
      <c r="V33" s="36">
        <f>IF(V$13=0,0,$B33*(1+$B$4))</f>
        <v>0</v>
      </c>
      <c r="W33" s="36">
        <f>IF(W$13=0,0,$B33*(1+$B$4))</f>
        <v>1650</v>
      </c>
      <c r="X33" s="36">
        <f>IF(X$13=0,0,$B33*(1+$B$4))</f>
        <v>0</v>
      </c>
      <c r="Y33" s="36">
        <f>IF(Y$13=0,0,$B33*(1+$B$4))</f>
        <v>0</v>
      </c>
      <c r="Z33" s="36">
        <f>IF(Z$13=0,0,$B33*(1+$B$4))</f>
        <v>0</v>
      </c>
      <c r="AA33" s="36">
        <f>IF(AA$13=0,0,$B33*(1+$B$4))</f>
        <v>0</v>
      </c>
      <c r="AB33" s="46">
        <f t="shared" si="65"/>
        <v>4950</v>
      </c>
      <c r="AC33" s="36">
        <f>IF(AC$13=0,0,$B33*(1+$B$4*2))</f>
        <v>1800</v>
      </c>
      <c r="AD33" s="36">
        <f>IF(AD$13=0,0,$B33*(1+$B$4*2))</f>
        <v>0</v>
      </c>
      <c r="AE33" s="36">
        <f>IF(AE$13=0,0,$B33*(1+$B$4*2))</f>
        <v>0</v>
      </c>
      <c r="AF33" s="36">
        <f>IF(AF$13=0,0,$B33*(1+$B$4*2))</f>
        <v>0</v>
      </c>
      <c r="AG33" s="36">
        <f>IF(AG$13=0,0,$B33*(1+$B$4*2))</f>
        <v>0</v>
      </c>
      <c r="AH33" s="36">
        <f>IF(AH$13=0,0,$B33*(1+$B$4*2))</f>
        <v>0</v>
      </c>
      <c r="AI33" s="36">
        <f>IF(AI$13=0,0,$B33*(1+$B$4*2))</f>
        <v>0</v>
      </c>
      <c r="AJ33" s="36">
        <f>IF(AJ$13=0,0,$B33*(1+$B$4*2))</f>
        <v>0</v>
      </c>
      <c r="AK33" s="36">
        <f>IF(AK$13=0,0,$B33*(1+$B$4*2))</f>
        <v>0</v>
      </c>
      <c r="AL33" s="36">
        <f>IF(AL$13=0,0,$B33*(1+$B$4*2))</f>
        <v>0</v>
      </c>
      <c r="AM33" s="36">
        <f>IF(AM$13=0,0,$B33*(1+$B$4*2))</f>
        <v>0</v>
      </c>
      <c r="AN33" s="36">
        <f>IF(AN$13=0,0,$B33*(1+$B$4*2))</f>
        <v>0</v>
      </c>
      <c r="AO33" s="46">
        <f t="shared" si="66"/>
        <v>1800</v>
      </c>
    </row>
    <row r="34" s="7" customFormat="1" spans="1:41">
      <c r="A34" s="37" t="s">
        <v>47</v>
      </c>
      <c r="B34" s="13">
        <v>720</v>
      </c>
      <c r="C34" s="36">
        <f t="shared" si="63"/>
        <v>0</v>
      </c>
      <c r="D34" s="36">
        <f t="shared" si="63"/>
        <v>0</v>
      </c>
      <c r="E34" s="36">
        <f t="shared" si="63"/>
        <v>0</v>
      </c>
      <c r="F34" s="36">
        <f t="shared" si="63"/>
        <v>0</v>
      </c>
      <c r="G34" s="36">
        <f t="shared" si="63"/>
        <v>0</v>
      </c>
      <c r="H34" s="36">
        <f t="shared" si="63"/>
        <v>0</v>
      </c>
      <c r="I34" s="36">
        <f t="shared" si="63"/>
        <v>0</v>
      </c>
      <c r="J34" s="36">
        <f t="shared" si="63"/>
        <v>0</v>
      </c>
      <c r="K34" s="36">
        <f t="shared" si="63"/>
        <v>0</v>
      </c>
      <c r="L34" s="36">
        <f t="shared" si="63"/>
        <v>0</v>
      </c>
      <c r="M34" s="36">
        <f t="shared" si="63"/>
        <v>720</v>
      </c>
      <c r="N34" s="36">
        <f t="shared" si="63"/>
        <v>0</v>
      </c>
      <c r="O34" s="46">
        <f t="shared" si="64"/>
        <v>720</v>
      </c>
      <c r="P34" s="36">
        <f>IF(P$13=0,0,$B34*(1+$B$4))</f>
        <v>792</v>
      </c>
      <c r="Q34" s="36">
        <f>IF(Q$13=0,0,$B34*(1+$B$4))</f>
        <v>0</v>
      </c>
      <c r="R34" s="36">
        <f>IF(R$13=0,0,$B34*(1+$B$4))</f>
        <v>0</v>
      </c>
      <c r="S34" s="36">
        <f>IF(S$13=0,0,$B34*(1+$B$4))</f>
        <v>792</v>
      </c>
      <c r="T34" s="36">
        <f>IF(T$13=0,0,$B34*(1+$B$4))</f>
        <v>0</v>
      </c>
      <c r="U34" s="36">
        <f>IF(U$13=0,0,$B34*(1+$B$4))</f>
        <v>0</v>
      </c>
      <c r="V34" s="36">
        <f>IF(V$13=0,0,$B34*(1+$B$4))</f>
        <v>0</v>
      </c>
      <c r="W34" s="36">
        <f>IF(W$13=0,0,$B34*(1+$B$4))</f>
        <v>792</v>
      </c>
      <c r="X34" s="36">
        <f>IF(X$13=0,0,$B34*(1+$B$4))</f>
        <v>0</v>
      </c>
      <c r="Y34" s="36">
        <f>IF(Y$13=0,0,$B34*(1+$B$4))</f>
        <v>0</v>
      </c>
      <c r="Z34" s="36">
        <f>IF(Z$13=0,0,$B34*(1+$B$4))</f>
        <v>0</v>
      </c>
      <c r="AA34" s="36">
        <f>IF(AA$13=0,0,$B34*(1+$B$4))</f>
        <v>0</v>
      </c>
      <c r="AB34" s="46">
        <f t="shared" si="65"/>
        <v>2376</v>
      </c>
      <c r="AC34" s="36">
        <f>IF(AC$13=0,0,$B34*(1+$B$4*2))</f>
        <v>864</v>
      </c>
      <c r="AD34" s="36">
        <f>IF(AD$13=0,0,$B34*(1+$B$4*2))</f>
        <v>0</v>
      </c>
      <c r="AE34" s="36">
        <f>IF(AE$13=0,0,$B34*(1+$B$4*2))</f>
        <v>0</v>
      </c>
      <c r="AF34" s="36">
        <f>IF(AF$13=0,0,$B34*(1+$B$4*2))</f>
        <v>0</v>
      </c>
      <c r="AG34" s="36">
        <f>IF(AG$13=0,0,$B34*(1+$B$4*2))</f>
        <v>0</v>
      </c>
      <c r="AH34" s="36">
        <f>IF(AH$13=0,0,$B34*(1+$B$4*2))</f>
        <v>0</v>
      </c>
      <c r="AI34" s="36">
        <f>IF(AI$13=0,0,$B34*(1+$B$4*2))</f>
        <v>0</v>
      </c>
      <c r="AJ34" s="36">
        <f>IF(AJ$13=0,0,$B34*(1+$B$4*2))</f>
        <v>0</v>
      </c>
      <c r="AK34" s="36">
        <f>IF(AK$13=0,0,$B34*(1+$B$4*2))</f>
        <v>0</v>
      </c>
      <c r="AL34" s="36">
        <f>IF(AL$13=0,0,$B34*(1+$B$4*2))</f>
        <v>0</v>
      </c>
      <c r="AM34" s="36">
        <f>IF(AM$13=0,0,$B34*(1+$B$4*2))</f>
        <v>0</v>
      </c>
      <c r="AN34" s="36">
        <f>IF(AN$13=0,0,$B34*(1+$B$4*2))</f>
        <v>0</v>
      </c>
      <c r="AO34" s="46">
        <f t="shared" si="66"/>
        <v>864</v>
      </c>
    </row>
    <row r="35" s="7" customFormat="1" spans="1:41">
      <c r="A35" s="33" t="s">
        <v>48</v>
      </c>
      <c r="B35" s="33"/>
      <c r="C35" s="34">
        <f>SUM(C36:C39)</f>
        <v>0</v>
      </c>
      <c r="D35" s="34">
        <f t="shared" ref="D35:N35" si="67">SUM(D36:D39)</f>
        <v>0</v>
      </c>
      <c r="E35" s="34">
        <f t="shared" si="67"/>
        <v>0</v>
      </c>
      <c r="F35" s="34">
        <f t="shared" si="67"/>
        <v>0</v>
      </c>
      <c r="G35" s="34">
        <f t="shared" si="67"/>
        <v>0</v>
      </c>
      <c r="H35" s="34">
        <f t="shared" si="67"/>
        <v>0</v>
      </c>
      <c r="I35" s="34">
        <f t="shared" si="67"/>
        <v>0</v>
      </c>
      <c r="J35" s="34">
        <f t="shared" si="67"/>
        <v>0</v>
      </c>
      <c r="K35" s="34">
        <f t="shared" si="67"/>
        <v>0</v>
      </c>
      <c r="L35" s="34">
        <f t="shared" si="67"/>
        <v>0</v>
      </c>
      <c r="M35" s="34">
        <f t="shared" si="67"/>
        <v>1800</v>
      </c>
      <c r="N35" s="34">
        <f t="shared" si="67"/>
        <v>0</v>
      </c>
      <c r="O35" s="46">
        <f t="shared" si="64"/>
        <v>1800</v>
      </c>
      <c r="P35" s="34">
        <f>SUM(P36:P39)</f>
        <v>1980</v>
      </c>
      <c r="Q35" s="34">
        <f t="shared" ref="Q35:AA35" si="68">SUM(Q36:Q39)</f>
        <v>0</v>
      </c>
      <c r="R35" s="34">
        <f t="shared" si="68"/>
        <v>0</v>
      </c>
      <c r="S35" s="34">
        <f t="shared" si="68"/>
        <v>1980</v>
      </c>
      <c r="T35" s="34">
        <f t="shared" si="68"/>
        <v>0</v>
      </c>
      <c r="U35" s="34">
        <f t="shared" si="68"/>
        <v>0</v>
      </c>
      <c r="V35" s="34">
        <f t="shared" si="68"/>
        <v>0</v>
      </c>
      <c r="W35" s="34">
        <f t="shared" si="68"/>
        <v>1980</v>
      </c>
      <c r="X35" s="34">
        <f t="shared" si="68"/>
        <v>0</v>
      </c>
      <c r="Y35" s="34">
        <f t="shared" si="68"/>
        <v>0</v>
      </c>
      <c r="Z35" s="34">
        <f t="shared" si="68"/>
        <v>0</v>
      </c>
      <c r="AA35" s="34">
        <f t="shared" si="68"/>
        <v>0</v>
      </c>
      <c r="AB35" s="46">
        <f t="shared" si="65"/>
        <v>5940</v>
      </c>
      <c r="AC35" s="34">
        <f>SUM(AC36:AC39)</f>
        <v>2160</v>
      </c>
      <c r="AD35" s="34">
        <f t="shared" ref="AD35:AN35" si="69">SUM(AD36:AD39)</f>
        <v>0</v>
      </c>
      <c r="AE35" s="34">
        <f t="shared" si="69"/>
        <v>0</v>
      </c>
      <c r="AF35" s="34">
        <f t="shared" si="69"/>
        <v>0</v>
      </c>
      <c r="AG35" s="34">
        <f t="shared" si="69"/>
        <v>0</v>
      </c>
      <c r="AH35" s="34">
        <f t="shared" si="69"/>
        <v>0</v>
      </c>
      <c r="AI35" s="34">
        <f t="shared" si="69"/>
        <v>0</v>
      </c>
      <c r="AJ35" s="34">
        <f t="shared" si="69"/>
        <v>0</v>
      </c>
      <c r="AK35" s="34">
        <f t="shared" si="69"/>
        <v>0</v>
      </c>
      <c r="AL35" s="34">
        <f t="shared" si="69"/>
        <v>0</v>
      </c>
      <c r="AM35" s="34">
        <f t="shared" si="69"/>
        <v>0</v>
      </c>
      <c r="AN35" s="34">
        <f t="shared" si="69"/>
        <v>0</v>
      </c>
      <c r="AO35" s="46">
        <f t="shared" si="66"/>
        <v>2160</v>
      </c>
    </row>
    <row r="36" s="7" customFormat="1" spans="1:41">
      <c r="A36" s="35" t="s">
        <v>49</v>
      </c>
      <c r="B36" s="13">
        <v>570</v>
      </c>
      <c r="C36" s="36">
        <f t="shared" ref="C36:N39" si="70">IF(C$13=0,0,$B36)</f>
        <v>0</v>
      </c>
      <c r="D36" s="36">
        <f t="shared" si="70"/>
        <v>0</v>
      </c>
      <c r="E36" s="36">
        <f t="shared" si="70"/>
        <v>0</v>
      </c>
      <c r="F36" s="36">
        <f t="shared" si="70"/>
        <v>0</v>
      </c>
      <c r="G36" s="36">
        <f t="shared" si="70"/>
        <v>0</v>
      </c>
      <c r="H36" s="36">
        <f t="shared" si="70"/>
        <v>0</v>
      </c>
      <c r="I36" s="36">
        <f t="shared" si="70"/>
        <v>0</v>
      </c>
      <c r="J36" s="36">
        <f t="shared" si="70"/>
        <v>0</v>
      </c>
      <c r="K36" s="36">
        <f t="shared" si="70"/>
        <v>0</v>
      </c>
      <c r="L36" s="36">
        <f t="shared" si="70"/>
        <v>0</v>
      </c>
      <c r="M36" s="36">
        <f t="shared" si="70"/>
        <v>570</v>
      </c>
      <c r="N36" s="36">
        <f t="shared" si="70"/>
        <v>0</v>
      </c>
      <c r="O36" s="46">
        <f t="shared" si="64"/>
        <v>570</v>
      </c>
      <c r="P36" s="36">
        <f>IF(P$13=0,0,$B36*(1+$B$4))</f>
        <v>627</v>
      </c>
      <c r="Q36" s="36">
        <f>IF(Q$13=0,0,$B36*(1+$B$4))</f>
        <v>0</v>
      </c>
      <c r="R36" s="36">
        <f>IF(R$13=0,0,$B36*(1+$B$4))</f>
        <v>0</v>
      </c>
      <c r="S36" s="36">
        <f>IF(S$13=0,0,$B36*(1+$B$4))</f>
        <v>627</v>
      </c>
      <c r="T36" s="36">
        <f>IF(T$13=0,0,$B36*(1+$B$4))</f>
        <v>0</v>
      </c>
      <c r="U36" s="36">
        <f>IF(U$13=0,0,$B36*(1+$B$4))</f>
        <v>0</v>
      </c>
      <c r="V36" s="36">
        <f>IF(V$13=0,0,$B36*(1+$B$4))</f>
        <v>0</v>
      </c>
      <c r="W36" s="36">
        <f>IF(W$13=0,0,$B36*(1+$B$4))</f>
        <v>627</v>
      </c>
      <c r="X36" s="36">
        <f>IF(X$13=0,0,$B36*(1+$B$4))</f>
        <v>0</v>
      </c>
      <c r="Y36" s="36">
        <f>IF(Y$13=0,0,$B36*(1+$B$4))</f>
        <v>0</v>
      </c>
      <c r="Z36" s="36">
        <f>IF(Z$13=0,0,$B36*(1+$B$4))</f>
        <v>0</v>
      </c>
      <c r="AA36" s="36">
        <f>IF(AA$13=0,0,$B36*(1+$B$4))</f>
        <v>0</v>
      </c>
      <c r="AB36" s="46">
        <f t="shared" si="65"/>
        <v>1881</v>
      </c>
      <c r="AC36" s="36">
        <f>IF(AC$13=0,0,$B36*(1+$B$4*2))</f>
        <v>684</v>
      </c>
      <c r="AD36" s="36">
        <f>IF(AD$13=0,0,$B36*(1+$B$4*2))</f>
        <v>0</v>
      </c>
      <c r="AE36" s="36">
        <f>IF(AE$13=0,0,$B36*(1+$B$4*2))</f>
        <v>0</v>
      </c>
      <c r="AF36" s="36">
        <f>IF(AF$13=0,0,$B36*(1+$B$4*2))</f>
        <v>0</v>
      </c>
      <c r="AG36" s="36">
        <f>IF(AG$13=0,0,$B36*(1+$B$4*2))</f>
        <v>0</v>
      </c>
      <c r="AH36" s="36">
        <f>IF(AH$13=0,0,$B36*(1+$B$4*2))</f>
        <v>0</v>
      </c>
      <c r="AI36" s="36">
        <f>IF(AI$13=0,0,$B36*(1+$B$4*2))</f>
        <v>0</v>
      </c>
      <c r="AJ36" s="36">
        <f>IF(AJ$13=0,0,$B36*(1+$B$4*2))</f>
        <v>0</v>
      </c>
      <c r="AK36" s="36">
        <f>IF(AK$13=0,0,$B36*(1+$B$4*2))</f>
        <v>0</v>
      </c>
      <c r="AL36" s="36">
        <f>IF(AL$13=0,0,$B36*(1+$B$4*2))</f>
        <v>0</v>
      </c>
      <c r="AM36" s="36">
        <f>IF(AM$13=0,0,$B36*(1+$B$4*2))</f>
        <v>0</v>
      </c>
      <c r="AN36" s="36">
        <f>IF(AN$13=0,0,$B36*(1+$B$4*2))</f>
        <v>0</v>
      </c>
      <c r="AO36" s="46">
        <f t="shared" si="66"/>
        <v>684</v>
      </c>
    </row>
    <row r="37" s="7" customFormat="1" spans="1:41">
      <c r="A37" s="35" t="s">
        <v>50</v>
      </c>
      <c r="B37" s="13">
        <v>360</v>
      </c>
      <c r="C37" s="36">
        <f t="shared" si="70"/>
        <v>0</v>
      </c>
      <c r="D37" s="36">
        <f t="shared" si="70"/>
        <v>0</v>
      </c>
      <c r="E37" s="36">
        <f t="shared" si="70"/>
        <v>0</v>
      </c>
      <c r="F37" s="36">
        <f t="shared" si="70"/>
        <v>0</v>
      </c>
      <c r="G37" s="36">
        <f t="shared" si="70"/>
        <v>0</v>
      </c>
      <c r="H37" s="36">
        <f t="shared" si="70"/>
        <v>0</v>
      </c>
      <c r="I37" s="36">
        <f t="shared" si="70"/>
        <v>0</v>
      </c>
      <c r="J37" s="36">
        <f t="shared" si="70"/>
        <v>0</v>
      </c>
      <c r="K37" s="36">
        <f t="shared" si="70"/>
        <v>0</v>
      </c>
      <c r="L37" s="36">
        <f t="shared" si="70"/>
        <v>0</v>
      </c>
      <c r="M37" s="36">
        <f t="shared" si="70"/>
        <v>360</v>
      </c>
      <c r="N37" s="36">
        <f t="shared" si="70"/>
        <v>0</v>
      </c>
      <c r="O37" s="46">
        <f t="shared" si="64"/>
        <v>360</v>
      </c>
      <c r="P37" s="36">
        <f>IF(P$13=0,0,$B37*(1+$B$4))</f>
        <v>396</v>
      </c>
      <c r="Q37" s="36">
        <f>IF(Q$13=0,0,$B37*(1+$B$4))</f>
        <v>0</v>
      </c>
      <c r="R37" s="36">
        <f>IF(R$13=0,0,$B37*(1+$B$4))</f>
        <v>0</v>
      </c>
      <c r="S37" s="36">
        <f>IF(S$13=0,0,$B37*(1+$B$4))</f>
        <v>396</v>
      </c>
      <c r="T37" s="36">
        <f>IF(T$13=0,0,$B37*(1+$B$4))</f>
        <v>0</v>
      </c>
      <c r="U37" s="36">
        <f>IF(U$13=0,0,$B37*(1+$B$4))</f>
        <v>0</v>
      </c>
      <c r="V37" s="36">
        <f>IF(V$13=0,0,$B37*(1+$B$4))</f>
        <v>0</v>
      </c>
      <c r="W37" s="36">
        <f>IF(W$13=0,0,$B37*(1+$B$4))</f>
        <v>396</v>
      </c>
      <c r="X37" s="36">
        <f>IF(X$13=0,0,$B37*(1+$B$4))</f>
        <v>0</v>
      </c>
      <c r="Y37" s="36">
        <f>IF(Y$13=0,0,$B37*(1+$B$4))</f>
        <v>0</v>
      </c>
      <c r="Z37" s="36">
        <f>IF(Z$13=0,0,$B37*(1+$B$4))</f>
        <v>0</v>
      </c>
      <c r="AA37" s="36">
        <f>IF(AA$13=0,0,$B37*(1+$B$4))</f>
        <v>0</v>
      </c>
      <c r="AB37" s="46">
        <f t="shared" si="65"/>
        <v>1188</v>
      </c>
      <c r="AC37" s="36">
        <f>IF(AC$13=0,0,$B37*(1+$B$4*2))</f>
        <v>432</v>
      </c>
      <c r="AD37" s="36">
        <f>IF(AD$13=0,0,$B37*(1+$B$4*2))</f>
        <v>0</v>
      </c>
      <c r="AE37" s="36">
        <f>IF(AE$13=0,0,$B37*(1+$B$4*2))</f>
        <v>0</v>
      </c>
      <c r="AF37" s="36">
        <f>IF(AF$13=0,0,$B37*(1+$B$4*2))</f>
        <v>0</v>
      </c>
      <c r="AG37" s="36">
        <f>IF(AG$13=0,0,$B37*(1+$B$4*2))</f>
        <v>0</v>
      </c>
      <c r="AH37" s="36">
        <f>IF(AH$13=0,0,$B37*(1+$B$4*2))</f>
        <v>0</v>
      </c>
      <c r="AI37" s="36">
        <f>IF(AI$13=0,0,$B37*(1+$B$4*2))</f>
        <v>0</v>
      </c>
      <c r="AJ37" s="36">
        <f>IF(AJ$13=0,0,$B37*(1+$B$4*2))</f>
        <v>0</v>
      </c>
      <c r="AK37" s="36">
        <f>IF(AK$13=0,0,$B37*(1+$B$4*2))</f>
        <v>0</v>
      </c>
      <c r="AL37" s="36">
        <f>IF(AL$13=0,0,$B37*(1+$B$4*2))</f>
        <v>0</v>
      </c>
      <c r="AM37" s="36">
        <f>IF(AM$13=0,0,$B37*(1+$B$4*2))</f>
        <v>0</v>
      </c>
      <c r="AN37" s="36">
        <f>IF(AN$13=0,0,$B37*(1+$B$4*2))</f>
        <v>0</v>
      </c>
      <c r="AO37" s="46">
        <f t="shared" si="66"/>
        <v>432</v>
      </c>
    </row>
    <row r="38" s="7" customFormat="1" spans="1:41">
      <c r="A38" s="35" t="s">
        <v>51</v>
      </c>
      <c r="B38" s="13">
        <v>720</v>
      </c>
      <c r="C38" s="36">
        <f t="shared" si="70"/>
        <v>0</v>
      </c>
      <c r="D38" s="36">
        <f t="shared" si="70"/>
        <v>0</v>
      </c>
      <c r="E38" s="36">
        <f t="shared" si="70"/>
        <v>0</v>
      </c>
      <c r="F38" s="36">
        <f t="shared" si="70"/>
        <v>0</v>
      </c>
      <c r="G38" s="36">
        <f t="shared" si="70"/>
        <v>0</v>
      </c>
      <c r="H38" s="36">
        <f t="shared" si="70"/>
        <v>0</v>
      </c>
      <c r="I38" s="36">
        <f t="shared" si="70"/>
        <v>0</v>
      </c>
      <c r="J38" s="36">
        <f t="shared" si="70"/>
        <v>0</v>
      </c>
      <c r="K38" s="36">
        <f t="shared" si="70"/>
        <v>0</v>
      </c>
      <c r="L38" s="36">
        <f t="shared" si="70"/>
        <v>0</v>
      </c>
      <c r="M38" s="36">
        <f t="shared" si="70"/>
        <v>720</v>
      </c>
      <c r="N38" s="36">
        <f t="shared" si="70"/>
        <v>0</v>
      </c>
      <c r="O38" s="46">
        <f t="shared" si="64"/>
        <v>720</v>
      </c>
      <c r="P38" s="36">
        <f>IF(P$13=0,0,$B38*(1+$B$4))</f>
        <v>792</v>
      </c>
      <c r="Q38" s="36">
        <f>IF(Q$13=0,0,$B38*(1+$B$4))</f>
        <v>0</v>
      </c>
      <c r="R38" s="36">
        <f>IF(R$13=0,0,$B38*(1+$B$4))</f>
        <v>0</v>
      </c>
      <c r="S38" s="36">
        <f>IF(S$13=0,0,$B38*(1+$B$4))</f>
        <v>792</v>
      </c>
      <c r="T38" s="36">
        <f>IF(T$13=0,0,$B38*(1+$B$4))</f>
        <v>0</v>
      </c>
      <c r="U38" s="36">
        <f>IF(U$13=0,0,$B38*(1+$B$4))</f>
        <v>0</v>
      </c>
      <c r="V38" s="36">
        <f>IF(V$13=0,0,$B38*(1+$B$4))</f>
        <v>0</v>
      </c>
      <c r="W38" s="36">
        <f>IF(W$13=0,0,$B38*(1+$B$4))</f>
        <v>792</v>
      </c>
      <c r="X38" s="36">
        <f>IF(X$13=0,0,$B38*(1+$B$4))</f>
        <v>0</v>
      </c>
      <c r="Y38" s="36">
        <f>IF(Y$13=0,0,$B38*(1+$B$4))</f>
        <v>0</v>
      </c>
      <c r="Z38" s="36">
        <f>IF(Z$13=0,0,$B38*(1+$B$4))</f>
        <v>0</v>
      </c>
      <c r="AA38" s="36">
        <f>IF(AA$13=0,0,$B38*(1+$B$4))</f>
        <v>0</v>
      </c>
      <c r="AB38" s="46">
        <f t="shared" si="65"/>
        <v>2376</v>
      </c>
      <c r="AC38" s="36">
        <f>IF(AC$13=0,0,$B38*(1+$B$4*2))</f>
        <v>864</v>
      </c>
      <c r="AD38" s="36">
        <f>IF(AD$13=0,0,$B38*(1+$B$4*2))</f>
        <v>0</v>
      </c>
      <c r="AE38" s="36">
        <f>IF(AE$13=0,0,$B38*(1+$B$4*2))</f>
        <v>0</v>
      </c>
      <c r="AF38" s="36">
        <f>IF(AF$13=0,0,$B38*(1+$B$4*2))</f>
        <v>0</v>
      </c>
      <c r="AG38" s="36">
        <f>IF(AG$13=0,0,$B38*(1+$B$4*2))</f>
        <v>0</v>
      </c>
      <c r="AH38" s="36">
        <f>IF(AH$13=0,0,$B38*(1+$B$4*2))</f>
        <v>0</v>
      </c>
      <c r="AI38" s="36">
        <f>IF(AI$13=0,0,$B38*(1+$B$4*2))</f>
        <v>0</v>
      </c>
      <c r="AJ38" s="36">
        <f>IF(AJ$13=0,0,$B38*(1+$B$4*2))</f>
        <v>0</v>
      </c>
      <c r="AK38" s="36">
        <f>IF(AK$13=0,0,$B38*(1+$B$4*2))</f>
        <v>0</v>
      </c>
      <c r="AL38" s="36">
        <f>IF(AL$13=0,0,$B38*(1+$B$4*2))</f>
        <v>0</v>
      </c>
      <c r="AM38" s="36">
        <f>IF(AM$13=0,0,$B38*(1+$B$4*2))</f>
        <v>0</v>
      </c>
      <c r="AN38" s="36">
        <f>IF(AN$13=0,0,$B38*(1+$B$4*2))</f>
        <v>0</v>
      </c>
      <c r="AO38" s="46">
        <f t="shared" si="66"/>
        <v>864</v>
      </c>
    </row>
    <row r="39" s="7" customFormat="1" spans="1:41">
      <c r="A39" s="35" t="s">
        <v>52</v>
      </c>
      <c r="B39" s="13">
        <v>150</v>
      </c>
      <c r="C39" s="36">
        <f t="shared" si="70"/>
        <v>0</v>
      </c>
      <c r="D39" s="36">
        <f t="shared" si="70"/>
        <v>0</v>
      </c>
      <c r="E39" s="36">
        <f t="shared" si="70"/>
        <v>0</v>
      </c>
      <c r="F39" s="36">
        <f t="shared" si="70"/>
        <v>0</v>
      </c>
      <c r="G39" s="36">
        <f t="shared" si="70"/>
        <v>0</v>
      </c>
      <c r="H39" s="36">
        <f t="shared" si="70"/>
        <v>0</v>
      </c>
      <c r="I39" s="36">
        <f t="shared" si="70"/>
        <v>0</v>
      </c>
      <c r="J39" s="36">
        <f t="shared" si="70"/>
        <v>0</v>
      </c>
      <c r="K39" s="36">
        <f t="shared" si="70"/>
        <v>0</v>
      </c>
      <c r="L39" s="36">
        <f t="shared" si="70"/>
        <v>0</v>
      </c>
      <c r="M39" s="36">
        <f t="shared" si="70"/>
        <v>150</v>
      </c>
      <c r="N39" s="36">
        <f t="shared" si="70"/>
        <v>0</v>
      </c>
      <c r="O39" s="46">
        <f t="shared" si="64"/>
        <v>150</v>
      </c>
      <c r="P39" s="36">
        <f>IF(P$13=0,0,$B39*(1+$B$4))</f>
        <v>165</v>
      </c>
      <c r="Q39" s="36">
        <f>IF(Q$13=0,0,$B39*(1+$B$4))</f>
        <v>0</v>
      </c>
      <c r="R39" s="36">
        <f>IF(R$13=0,0,$B39*(1+$B$4))</f>
        <v>0</v>
      </c>
      <c r="S39" s="36">
        <f>IF(S$13=0,0,$B39*(1+$B$4))</f>
        <v>165</v>
      </c>
      <c r="T39" s="36">
        <f>IF(T$13=0,0,$B39*(1+$B$4))</f>
        <v>0</v>
      </c>
      <c r="U39" s="36">
        <f>IF(U$13=0,0,$B39*(1+$B$4))</f>
        <v>0</v>
      </c>
      <c r="V39" s="36">
        <f>IF(V$13=0,0,$B39*(1+$B$4))</f>
        <v>0</v>
      </c>
      <c r="W39" s="36">
        <f>IF(W$13=0,0,$B39*(1+$B$4))</f>
        <v>165</v>
      </c>
      <c r="X39" s="36">
        <f>IF(X$13=0,0,$B39*(1+$B$4))</f>
        <v>0</v>
      </c>
      <c r="Y39" s="36">
        <f>IF(Y$13=0,0,$B39*(1+$B$4))</f>
        <v>0</v>
      </c>
      <c r="Z39" s="36">
        <f>IF(Z$13=0,0,$B39*(1+$B$4))</f>
        <v>0</v>
      </c>
      <c r="AA39" s="36">
        <f>IF(AA$13=0,0,$B39*(1+$B$4))</f>
        <v>0</v>
      </c>
      <c r="AB39" s="46">
        <f t="shared" si="65"/>
        <v>495</v>
      </c>
      <c r="AC39" s="36">
        <f>IF(AC$13=0,0,$B39*(1+$B$4*2))</f>
        <v>180</v>
      </c>
      <c r="AD39" s="36">
        <f>IF(AD$13=0,0,$B39*(1+$B$4*2))</f>
        <v>0</v>
      </c>
      <c r="AE39" s="36">
        <f>IF(AE$13=0,0,$B39*(1+$B$4*2))</f>
        <v>0</v>
      </c>
      <c r="AF39" s="36">
        <f>IF(AF$13=0,0,$B39*(1+$B$4*2))</f>
        <v>0</v>
      </c>
      <c r="AG39" s="36">
        <f>IF(AG$13=0,0,$B39*(1+$B$4*2))</f>
        <v>0</v>
      </c>
      <c r="AH39" s="36">
        <f>IF(AH$13=0,0,$B39*(1+$B$4*2))</f>
        <v>0</v>
      </c>
      <c r="AI39" s="36">
        <f>IF(AI$13=0,0,$B39*(1+$B$4*2))</f>
        <v>0</v>
      </c>
      <c r="AJ39" s="36">
        <f>IF(AJ$13=0,0,$B39*(1+$B$4*2))</f>
        <v>0</v>
      </c>
      <c r="AK39" s="36">
        <f>IF(AK$13=0,0,$B39*(1+$B$4*2))</f>
        <v>0</v>
      </c>
      <c r="AL39" s="36">
        <f>IF(AL$13=0,0,$B39*(1+$B$4*2))</f>
        <v>0</v>
      </c>
      <c r="AM39" s="36">
        <f>IF(AM$13=0,0,$B39*(1+$B$4*2))</f>
        <v>0</v>
      </c>
      <c r="AN39" s="36">
        <f>IF(AN$13=0,0,$B39*(1+$B$4*2))</f>
        <v>0</v>
      </c>
      <c r="AO39" s="46">
        <f t="shared" si="66"/>
        <v>180</v>
      </c>
    </row>
    <row r="40" s="7" customFormat="1" spans="1:41">
      <c r="A40" s="32" t="s">
        <v>53</v>
      </c>
      <c r="B40" s="33"/>
      <c r="C40" s="30">
        <f t="shared" ref="C40:N40" si="71">C13*$H3</f>
        <v>0</v>
      </c>
      <c r="D40" s="30">
        <f t="shared" si="71"/>
        <v>0</v>
      </c>
      <c r="E40" s="30">
        <f t="shared" si="71"/>
        <v>0</v>
      </c>
      <c r="F40" s="30">
        <f t="shared" si="71"/>
        <v>0</v>
      </c>
      <c r="G40" s="30">
        <f t="shared" si="71"/>
        <v>0</v>
      </c>
      <c r="H40" s="30">
        <f t="shared" si="71"/>
        <v>0</v>
      </c>
      <c r="I40" s="30">
        <f t="shared" si="71"/>
        <v>0</v>
      </c>
      <c r="J40" s="30">
        <f t="shared" si="71"/>
        <v>0</v>
      </c>
      <c r="K40" s="30">
        <f t="shared" si="71"/>
        <v>0</v>
      </c>
      <c r="L40" s="30">
        <f t="shared" si="71"/>
        <v>0</v>
      </c>
      <c r="M40" s="30">
        <f t="shared" si="71"/>
        <v>375000</v>
      </c>
      <c r="N40" s="30">
        <f t="shared" si="71"/>
        <v>0</v>
      </c>
      <c r="O40" s="46">
        <f t="shared" si="21"/>
        <v>375000</v>
      </c>
      <c r="P40" s="30">
        <f t="shared" ref="P40:AA40" si="72">P13*$H3</f>
        <v>375000</v>
      </c>
      <c r="Q40" s="30">
        <f t="shared" si="72"/>
        <v>0</v>
      </c>
      <c r="R40" s="30">
        <f t="shared" si="72"/>
        <v>0</v>
      </c>
      <c r="S40" s="30">
        <f t="shared" si="72"/>
        <v>375000</v>
      </c>
      <c r="T40" s="30">
        <f t="shared" si="72"/>
        <v>0</v>
      </c>
      <c r="U40" s="30">
        <f t="shared" si="72"/>
        <v>0</v>
      </c>
      <c r="V40" s="30">
        <f t="shared" si="72"/>
        <v>0</v>
      </c>
      <c r="W40" s="30">
        <f t="shared" si="72"/>
        <v>375000</v>
      </c>
      <c r="X40" s="30">
        <f t="shared" si="72"/>
        <v>0</v>
      </c>
      <c r="Y40" s="30">
        <f t="shared" si="72"/>
        <v>0</v>
      </c>
      <c r="Z40" s="30">
        <f t="shared" si="72"/>
        <v>0</v>
      </c>
      <c r="AA40" s="30">
        <f t="shared" si="72"/>
        <v>0</v>
      </c>
      <c r="AB40" s="46">
        <f t="shared" si="23"/>
        <v>1125000</v>
      </c>
      <c r="AC40" s="30">
        <f t="shared" ref="AC40:AN40" si="73">AC13*$H3</f>
        <v>375000</v>
      </c>
      <c r="AD40" s="30">
        <f t="shared" si="73"/>
        <v>0</v>
      </c>
      <c r="AE40" s="30">
        <f t="shared" si="73"/>
        <v>0</v>
      </c>
      <c r="AF40" s="30">
        <f t="shared" si="73"/>
        <v>0</v>
      </c>
      <c r="AG40" s="30">
        <f t="shared" si="73"/>
        <v>0</v>
      </c>
      <c r="AH40" s="30">
        <f t="shared" si="73"/>
        <v>0</v>
      </c>
      <c r="AI40" s="30">
        <f t="shared" si="73"/>
        <v>0</v>
      </c>
      <c r="AJ40" s="30">
        <f t="shared" si="73"/>
        <v>0</v>
      </c>
      <c r="AK40" s="30">
        <f t="shared" si="73"/>
        <v>0</v>
      </c>
      <c r="AL40" s="30">
        <f t="shared" si="73"/>
        <v>0</v>
      </c>
      <c r="AM40" s="30">
        <f t="shared" si="73"/>
        <v>0</v>
      </c>
      <c r="AN40" s="30">
        <f t="shared" si="73"/>
        <v>0</v>
      </c>
      <c r="AO40" s="46">
        <f t="shared" si="25"/>
        <v>375000</v>
      </c>
    </row>
    <row r="41" s="7" customFormat="1" spans="1:41">
      <c r="A41" s="32" t="s">
        <v>54</v>
      </c>
      <c r="B41" s="33"/>
      <c r="C41" s="30">
        <f t="shared" ref="C41:N41" si="74">C13*$H4</f>
        <v>0</v>
      </c>
      <c r="D41" s="30">
        <f t="shared" si="74"/>
        <v>0</v>
      </c>
      <c r="E41" s="30">
        <f t="shared" si="74"/>
        <v>0</v>
      </c>
      <c r="F41" s="30">
        <f t="shared" si="74"/>
        <v>0</v>
      </c>
      <c r="G41" s="30">
        <f t="shared" si="74"/>
        <v>0</v>
      </c>
      <c r="H41" s="30">
        <f t="shared" si="74"/>
        <v>0</v>
      </c>
      <c r="I41" s="30">
        <f t="shared" si="74"/>
        <v>0</v>
      </c>
      <c r="J41" s="30">
        <f t="shared" si="74"/>
        <v>0</v>
      </c>
      <c r="K41" s="30">
        <f t="shared" si="74"/>
        <v>0</v>
      </c>
      <c r="L41" s="30">
        <f t="shared" si="74"/>
        <v>0</v>
      </c>
      <c r="M41" s="30">
        <f t="shared" si="74"/>
        <v>150000</v>
      </c>
      <c r="N41" s="30">
        <f t="shared" si="74"/>
        <v>0</v>
      </c>
      <c r="O41" s="46">
        <f t="shared" si="21"/>
        <v>150000</v>
      </c>
      <c r="P41" s="30">
        <f t="shared" ref="P41:AA41" si="75">P13*$H4</f>
        <v>150000</v>
      </c>
      <c r="Q41" s="30">
        <f t="shared" si="75"/>
        <v>0</v>
      </c>
      <c r="R41" s="30">
        <f t="shared" si="75"/>
        <v>0</v>
      </c>
      <c r="S41" s="30">
        <f t="shared" si="75"/>
        <v>150000</v>
      </c>
      <c r="T41" s="30">
        <f t="shared" si="75"/>
        <v>0</v>
      </c>
      <c r="U41" s="30">
        <f t="shared" si="75"/>
        <v>0</v>
      </c>
      <c r="V41" s="30">
        <f t="shared" si="75"/>
        <v>0</v>
      </c>
      <c r="W41" s="30">
        <f t="shared" si="75"/>
        <v>150000</v>
      </c>
      <c r="X41" s="30">
        <f t="shared" si="75"/>
        <v>0</v>
      </c>
      <c r="Y41" s="30">
        <f t="shared" si="75"/>
        <v>0</v>
      </c>
      <c r="Z41" s="30">
        <f t="shared" si="75"/>
        <v>0</v>
      </c>
      <c r="AA41" s="30">
        <f t="shared" si="75"/>
        <v>0</v>
      </c>
      <c r="AB41" s="46">
        <f t="shared" si="23"/>
        <v>450000</v>
      </c>
      <c r="AC41" s="30">
        <f t="shared" ref="AC41:AN41" si="76">AC13*$H4</f>
        <v>150000</v>
      </c>
      <c r="AD41" s="30">
        <f t="shared" si="76"/>
        <v>0</v>
      </c>
      <c r="AE41" s="30">
        <f t="shared" si="76"/>
        <v>0</v>
      </c>
      <c r="AF41" s="30">
        <f t="shared" si="76"/>
        <v>0</v>
      </c>
      <c r="AG41" s="30">
        <f t="shared" si="76"/>
        <v>0</v>
      </c>
      <c r="AH41" s="30">
        <f t="shared" si="76"/>
        <v>0</v>
      </c>
      <c r="AI41" s="30">
        <f t="shared" si="76"/>
        <v>0</v>
      </c>
      <c r="AJ41" s="30">
        <f t="shared" si="76"/>
        <v>0</v>
      </c>
      <c r="AK41" s="30">
        <f t="shared" si="76"/>
        <v>0</v>
      </c>
      <c r="AL41" s="30">
        <f t="shared" si="76"/>
        <v>0</v>
      </c>
      <c r="AM41" s="30">
        <f t="shared" si="76"/>
        <v>0</v>
      </c>
      <c r="AN41" s="30">
        <f t="shared" si="76"/>
        <v>0</v>
      </c>
      <c r="AO41" s="46">
        <f t="shared" si="25"/>
        <v>150000</v>
      </c>
    </row>
    <row r="42" s="7" customFormat="1" spans="1:41">
      <c r="A42" s="37" t="s">
        <v>55</v>
      </c>
      <c r="B42" s="13">
        <v>2900</v>
      </c>
      <c r="C42" s="36">
        <f>IF(D13=0,0,$B$42)</f>
        <v>0</v>
      </c>
      <c r="D42" s="36">
        <f t="shared" ref="D42:N42" si="77">IF(E13=0,0,$B$42)</f>
        <v>0</v>
      </c>
      <c r="E42" s="36">
        <f t="shared" si="77"/>
        <v>0</v>
      </c>
      <c r="F42" s="36">
        <f t="shared" si="77"/>
        <v>0</v>
      </c>
      <c r="G42" s="36">
        <f t="shared" si="77"/>
        <v>0</v>
      </c>
      <c r="H42" s="36">
        <f t="shared" si="77"/>
        <v>0</v>
      </c>
      <c r="I42" s="36">
        <f t="shared" si="77"/>
        <v>0</v>
      </c>
      <c r="J42" s="36">
        <f t="shared" si="77"/>
        <v>0</v>
      </c>
      <c r="K42" s="36">
        <f t="shared" si="77"/>
        <v>0</v>
      </c>
      <c r="L42" s="36">
        <f t="shared" si="77"/>
        <v>2900</v>
      </c>
      <c r="M42" s="36">
        <f t="shared" si="77"/>
        <v>0</v>
      </c>
      <c r="N42" s="36">
        <f t="shared" si="77"/>
        <v>2900</v>
      </c>
      <c r="O42" s="46">
        <f t="shared" si="21"/>
        <v>5800</v>
      </c>
      <c r="P42" s="36">
        <f t="shared" ref="P42:AA42" si="78">IF(Q13=0,0,$B$42*(1+$B$4))</f>
        <v>0</v>
      </c>
      <c r="Q42" s="36">
        <f t="shared" si="78"/>
        <v>0</v>
      </c>
      <c r="R42" s="36">
        <f t="shared" si="78"/>
        <v>3190</v>
      </c>
      <c r="S42" s="36">
        <f t="shared" si="78"/>
        <v>0</v>
      </c>
      <c r="T42" s="36">
        <f t="shared" si="78"/>
        <v>0</v>
      </c>
      <c r="U42" s="36">
        <f t="shared" si="78"/>
        <v>0</v>
      </c>
      <c r="V42" s="36">
        <f t="shared" si="78"/>
        <v>3190</v>
      </c>
      <c r="W42" s="36">
        <f t="shared" si="78"/>
        <v>0</v>
      </c>
      <c r="X42" s="36">
        <f t="shared" si="78"/>
        <v>0</v>
      </c>
      <c r="Y42" s="36">
        <f t="shared" si="78"/>
        <v>0</v>
      </c>
      <c r="Z42" s="36">
        <f t="shared" si="78"/>
        <v>0</v>
      </c>
      <c r="AA42" s="36">
        <f t="shared" si="78"/>
        <v>3190</v>
      </c>
      <c r="AB42" s="46">
        <f t="shared" ref="AB42" si="79">SUM(P42:AA42)</f>
        <v>9570</v>
      </c>
      <c r="AC42" s="36">
        <f t="shared" ref="AC42:AN42" si="80">IF(AD13=0,0,$B$42*(1+$B$4*2))</f>
        <v>0</v>
      </c>
      <c r="AD42" s="36">
        <f t="shared" si="80"/>
        <v>0</v>
      </c>
      <c r="AE42" s="36">
        <f t="shared" si="80"/>
        <v>0</v>
      </c>
      <c r="AF42" s="36">
        <f t="shared" si="80"/>
        <v>0</v>
      </c>
      <c r="AG42" s="36">
        <f t="shared" si="80"/>
        <v>0</v>
      </c>
      <c r="AH42" s="36">
        <f t="shared" si="80"/>
        <v>0</v>
      </c>
      <c r="AI42" s="36">
        <f t="shared" si="80"/>
        <v>0</v>
      </c>
      <c r="AJ42" s="36">
        <f t="shared" si="80"/>
        <v>0</v>
      </c>
      <c r="AK42" s="36">
        <f t="shared" si="80"/>
        <v>0</v>
      </c>
      <c r="AL42" s="36">
        <f t="shared" si="80"/>
        <v>0</v>
      </c>
      <c r="AM42" s="36">
        <f t="shared" si="80"/>
        <v>0</v>
      </c>
      <c r="AN42" s="36">
        <f t="shared" si="80"/>
        <v>3480</v>
      </c>
      <c r="AO42" s="46">
        <f t="shared" ref="AO42" si="81">SUM(AC42:AN42)</f>
        <v>3480</v>
      </c>
    </row>
    <row r="43" s="7" customFormat="1" spans="1:41">
      <c r="A43" s="37" t="s">
        <v>56</v>
      </c>
      <c r="B43" s="13">
        <v>360</v>
      </c>
      <c r="C43" s="36">
        <f>IF(D13=0,0,$B$42)</f>
        <v>0</v>
      </c>
      <c r="D43" s="36">
        <f t="shared" ref="D43:N43" si="82">IF(E13=0,0,$B$42)</f>
        <v>0</v>
      </c>
      <c r="E43" s="36">
        <f t="shared" si="82"/>
        <v>0</v>
      </c>
      <c r="F43" s="36">
        <f t="shared" si="82"/>
        <v>0</v>
      </c>
      <c r="G43" s="36">
        <f t="shared" si="82"/>
        <v>0</v>
      </c>
      <c r="H43" s="36">
        <f t="shared" si="82"/>
        <v>0</v>
      </c>
      <c r="I43" s="36">
        <f t="shared" si="82"/>
        <v>0</v>
      </c>
      <c r="J43" s="36">
        <f t="shared" si="82"/>
        <v>0</v>
      </c>
      <c r="K43" s="36">
        <f t="shared" si="82"/>
        <v>0</v>
      </c>
      <c r="L43" s="36">
        <f t="shared" si="82"/>
        <v>2900</v>
      </c>
      <c r="M43" s="36">
        <f t="shared" si="82"/>
        <v>0</v>
      </c>
      <c r="N43" s="36">
        <f t="shared" si="82"/>
        <v>2900</v>
      </c>
      <c r="O43" s="46">
        <f t="shared" ref="O43:O44" si="83">SUM(C43:N43)</f>
        <v>5800</v>
      </c>
      <c r="P43" s="36">
        <f t="shared" ref="P43:AA43" si="84">IF(Q14=0,0,$B$42*(1+$B$4))</f>
        <v>0</v>
      </c>
      <c r="Q43" s="36">
        <f t="shared" si="84"/>
        <v>0</v>
      </c>
      <c r="R43" s="36">
        <f t="shared" si="84"/>
        <v>0</v>
      </c>
      <c r="S43" s="36">
        <f t="shared" si="84"/>
        <v>0</v>
      </c>
      <c r="T43" s="36">
        <f t="shared" si="84"/>
        <v>0</v>
      </c>
      <c r="U43" s="36">
        <f t="shared" si="84"/>
        <v>0</v>
      </c>
      <c r="V43" s="36">
        <f t="shared" si="84"/>
        <v>0</v>
      </c>
      <c r="W43" s="36">
        <f t="shared" si="84"/>
        <v>0</v>
      </c>
      <c r="X43" s="36">
        <f t="shared" si="84"/>
        <v>0</v>
      </c>
      <c r="Y43" s="36">
        <f t="shared" si="84"/>
        <v>0</v>
      </c>
      <c r="Z43" s="36">
        <f t="shared" si="84"/>
        <v>0</v>
      </c>
      <c r="AA43" s="36">
        <f t="shared" si="84"/>
        <v>0</v>
      </c>
      <c r="AB43" s="46">
        <f t="shared" ref="AB43:AB44" si="85">SUM(P43:AA43)</f>
        <v>0</v>
      </c>
      <c r="AC43" s="36">
        <f t="shared" ref="AC43:AN43" si="86">IF(AD14=0,0,$B$42*(1+$B$4*2))</f>
        <v>0</v>
      </c>
      <c r="AD43" s="36">
        <f t="shared" si="86"/>
        <v>0</v>
      </c>
      <c r="AE43" s="36">
        <f t="shared" si="86"/>
        <v>0</v>
      </c>
      <c r="AF43" s="36">
        <f t="shared" si="86"/>
        <v>0</v>
      </c>
      <c r="AG43" s="36">
        <f t="shared" si="86"/>
        <v>0</v>
      </c>
      <c r="AH43" s="36">
        <f t="shared" si="86"/>
        <v>0</v>
      </c>
      <c r="AI43" s="36">
        <f t="shared" si="86"/>
        <v>0</v>
      </c>
      <c r="AJ43" s="36">
        <f t="shared" si="86"/>
        <v>0</v>
      </c>
      <c r="AK43" s="36">
        <f t="shared" si="86"/>
        <v>0</v>
      </c>
      <c r="AL43" s="36">
        <f t="shared" si="86"/>
        <v>0</v>
      </c>
      <c r="AM43" s="36">
        <f t="shared" si="86"/>
        <v>0</v>
      </c>
      <c r="AN43" s="36">
        <f t="shared" si="86"/>
        <v>0</v>
      </c>
      <c r="AO43" s="46">
        <f t="shared" ref="AO43:AO44" si="87">SUM(AC43:AN43)</f>
        <v>0</v>
      </c>
    </row>
    <row r="44" spans="1:41">
      <c r="A44" s="32" t="s">
        <v>57</v>
      </c>
      <c r="B44" s="33"/>
      <c r="C44" s="30">
        <f t="shared" ref="C44:N44" si="88">C13*$H6</f>
        <v>0</v>
      </c>
      <c r="D44" s="30">
        <f t="shared" si="88"/>
        <v>0</v>
      </c>
      <c r="E44" s="30">
        <f t="shared" si="88"/>
        <v>0</v>
      </c>
      <c r="F44" s="30">
        <f t="shared" si="88"/>
        <v>0</v>
      </c>
      <c r="G44" s="30">
        <f t="shared" si="88"/>
        <v>0</v>
      </c>
      <c r="H44" s="30">
        <f t="shared" si="88"/>
        <v>0</v>
      </c>
      <c r="I44" s="30">
        <f t="shared" si="88"/>
        <v>0</v>
      </c>
      <c r="J44" s="30">
        <f t="shared" si="88"/>
        <v>0</v>
      </c>
      <c r="K44" s="30">
        <f t="shared" si="88"/>
        <v>0</v>
      </c>
      <c r="L44" s="30">
        <f t="shared" si="88"/>
        <v>0</v>
      </c>
      <c r="M44" s="30">
        <f t="shared" si="88"/>
        <v>300000</v>
      </c>
      <c r="N44" s="30">
        <f t="shared" si="88"/>
        <v>0</v>
      </c>
      <c r="O44" s="46">
        <f t="shared" si="83"/>
        <v>300000</v>
      </c>
      <c r="P44" s="30">
        <f t="shared" ref="P44:AA44" si="89">P13*$H6</f>
        <v>300000</v>
      </c>
      <c r="Q44" s="30">
        <f t="shared" si="89"/>
        <v>0</v>
      </c>
      <c r="R44" s="30">
        <f t="shared" si="89"/>
        <v>0</v>
      </c>
      <c r="S44" s="30">
        <f t="shared" si="89"/>
        <v>300000</v>
      </c>
      <c r="T44" s="30">
        <f t="shared" si="89"/>
        <v>0</v>
      </c>
      <c r="U44" s="30">
        <f t="shared" si="89"/>
        <v>0</v>
      </c>
      <c r="V44" s="30">
        <f t="shared" si="89"/>
        <v>0</v>
      </c>
      <c r="W44" s="30">
        <f t="shared" si="89"/>
        <v>300000</v>
      </c>
      <c r="X44" s="30">
        <f t="shared" si="89"/>
        <v>0</v>
      </c>
      <c r="Y44" s="30">
        <f t="shared" si="89"/>
        <v>0</v>
      </c>
      <c r="Z44" s="30">
        <f t="shared" si="89"/>
        <v>0</v>
      </c>
      <c r="AA44" s="30">
        <f t="shared" si="89"/>
        <v>0</v>
      </c>
      <c r="AB44" s="46">
        <f t="shared" si="85"/>
        <v>900000</v>
      </c>
      <c r="AC44" s="30">
        <f t="shared" ref="AC44:AN44" si="90">AC13*$H6</f>
        <v>300000</v>
      </c>
      <c r="AD44" s="30">
        <f t="shared" si="90"/>
        <v>0</v>
      </c>
      <c r="AE44" s="30">
        <f t="shared" si="90"/>
        <v>0</v>
      </c>
      <c r="AF44" s="30">
        <f t="shared" si="90"/>
        <v>0</v>
      </c>
      <c r="AG44" s="30">
        <f t="shared" si="90"/>
        <v>0</v>
      </c>
      <c r="AH44" s="30">
        <f t="shared" si="90"/>
        <v>0</v>
      </c>
      <c r="AI44" s="30">
        <f t="shared" si="90"/>
        <v>0</v>
      </c>
      <c r="AJ44" s="30">
        <f t="shared" si="90"/>
        <v>0</v>
      </c>
      <c r="AK44" s="30">
        <f t="shared" si="90"/>
        <v>0</v>
      </c>
      <c r="AL44" s="30">
        <f t="shared" si="90"/>
        <v>0</v>
      </c>
      <c r="AM44" s="30">
        <f t="shared" si="90"/>
        <v>0</v>
      </c>
      <c r="AN44" s="30">
        <f t="shared" si="90"/>
        <v>0</v>
      </c>
      <c r="AO44" s="46">
        <f t="shared" si="87"/>
        <v>300000</v>
      </c>
    </row>
    <row r="45" spans="1:41">
      <c r="A45" s="32" t="s">
        <v>58</v>
      </c>
      <c r="B45" s="33"/>
      <c r="C45" s="30">
        <f t="shared" ref="C45:N45" si="91">C13*$H7</f>
        <v>0</v>
      </c>
      <c r="D45" s="30">
        <f t="shared" si="91"/>
        <v>0</v>
      </c>
      <c r="E45" s="30">
        <f t="shared" si="91"/>
        <v>0</v>
      </c>
      <c r="F45" s="30">
        <f t="shared" si="91"/>
        <v>0</v>
      </c>
      <c r="G45" s="30">
        <f t="shared" si="91"/>
        <v>0</v>
      </c>
      <c r="H45" s="30">
        <f t="shared" si="91"/>
        <v>0</v>
      </c>
      <c r="I45" s="30">
        <f t="shared" si="91"/>
        <v>0</v>
      </c>
      <c r="J45" s="30">
        <f t="shared" si="91"/>
        <v>0</v>
      </c>
      <c r="K45" s="30">
        <f t="shared" si="91"/>
        <v>0</v>
      </c>
      <c r="L45" s="30">
        <f t="shared" si="91"/>
        <v>0</v>
      </c>
      <c r="M45" s="30">
        <f t="shared" si="91"/>
        <v>75000</v>
      </c>
      <c r="N45" s="30">
        <f t="shared" si="91"/>
        <v>0</v>
      </c>
      <c r="O45" s="46">
        <f t="shared" si="21"/>
        <v>75000</v>
      </c>
      <c r="P45" s="30">
        <f t="shared" ref="P45:AA45" si="92">P13*$H7</f>
        <v>75000</v>
      </c>
      <c r="Q45" s="30">
        <f t="shared" si="92"/>
        <v>0</v>
      </c>
      <c r="R45" s="30">
        <f t="shared" si="92"/>
        <v>0</v>
      </c>
      <c r="S45" s="30">
        <f t="shared" si="92"/>
        <v>75000</v>
      </c>
      <c r="T45" s="30">
        <f t="shared" si="92"/>
        <v>0</v>
      </c>
      <c r="U45" s="30">
        <f t="shared" si="92"/>
        <v>0</v>
      </c>
      <c r="V45" s="30">
        <f t="shared" si="92"/>
        <v>0</v>
      </c>
      <c r="W45" s="30">
        <f t="shared" si="92"/>
        <v>75000</v>
      </c>
      <c r="X45" s="30">
        <f t="shared" si="92"/>
        <v>0</v>
      </c>
      <c r="Y45" s="30">
        <f t="shared" si="92"/>
        <v>0</v>
      </c>
      <c r="Z45" s="30">
        <f t="shared" si="92"/>
        <v>0</v>
      </c>
      <c r="AA45" s="30">
        <f t="shared" si="92"/>
        <v>0</v>
      </c>
      <c r="AB45" s="46">
        <f t="shared" si="23"/>
        <v>225000</v>
      </c>
      <c r="AC45" s="30">
        <f t="shared" ref="AC45:AN45" si="93">AC13*$H7</f>
        <v>75000</v>
      </c>
      <c r="AD45" s="30">
        <f t="shared" si="93"/>
        <v>0</v>
      </c>
      <c r="AE45" s="30">
        <f t="shared" si="93"/>
        <v>0</v>
      </c>
      <c r="AF45" s="30">
        <f t="shared" si="93"/>
        <v>0</v>
      </c>
      <c r="AG45" s="30">
        <f t="shared" si="93"/>
        <v>0</v>
      </c>
      <c r="AH45" s="30">
        <f t="shared" si="93"/>
        <v>0</v>
      </c>
      <c r="AI45" s="30">
        <f t="shared" si="93"/>
        <v>0</v>
      </c>
      <c r="AJ45" s="30">
        <f t="shared" si="93"/>
        <v>0</v>
      </c>
      <c r="AK45" s="30">
        <f t="shared" si="93"/>
        <v>0</v>
      </c>
      <c r="AL45" s="30">
        <f t="shared" si="93"/>
        <v>0</v>
      </c>
      <c r="AM45" s="30">
        <f t="shared" si="93"/>
        <v>0</v>
      </c>
      <c r="AN45" s="30">
        <f t="shared" si="93"/>
        <v>0</v>
      </c>
      <c r="AO45" s="46">
        <f t="shared" si="25"/>
        <v>75000</v>
      </c>
    </row>
    <row r="46" spans="1:41">
      <c r="A46" s="27" t="s">
        <v>59</v>
      </c>
      <c r="B46" s="27"/>
      <c r="C46" s="31">
        <f t="shared" ref="C46:N46" si="94">SUM(C47:C49)</f>
        <v>0</v>
      </c>
      <c r="D46" s="31">
        <f t="shared" si="94"/>
        <v>0</v>
      </c>
      <c r="E46" s="31">
        <f t="shared" si="94"/>
        <v>0</v>
      </c>
      <c r="F46" s="31">
        <f t="shared" si="94"/>
        <v>0</v>
      </c>
      <c r="G46" s="31">
        <f t="shared" si="94"/>
        <v>0</v>
      </c>
      <c r="H46" s="31">
        <f t="shared" si="94"/>
        <v>0</v>
      </c>
      <c r="I46" s="31">
        <f t="shared" si="94"/>
        <v>0</v>
      </c>
      <c r="J46" s="31">
        <f t="shared" si="94"/>
        <v>0</v>
      </c>
      <c r="K46" s="31">
        <f t="shared" si="94"/>
        <v>0</v>
      </c>
      <c r="L46" s="31">
        <f t="shared" si="94"/>
        <v>5117</v>
      </c>
      <c r="M46" s="31">
        <f t="shared" si="94"/>
        <v>2878944</v>
      </c>
      <c r="N46" s="31">
        <f t="shared" si="94"/>
        <v>5117</v>
      </c>
      <c r="O46" s="46">
        <f t="shared" si="21"/>
        <v>2889178</v>
      </c>
      <c r="P46" s="31">
        <f t="shared" ref="P46:AA46" si="95">SUM(P47:P49)</f>
        <v>2878838.4</v>
      </c>
      <c r="Q46" s="31">
        <f t="shared" si="95"/>
        <v>0</v>
      </c>
      <c r="R46" s="31">
        <f t="shared" si="95"/>
        <v>5628.7</v>
      </c>
      <c r="S46" s="31">
        <f t="shared" si="95"/>
        <v>2878838.4</v>
      </c>
      <c r="T46" s="31">
        <f t="shared" si="95"/>
        <v>0</v>
      </c>
      <c r="U46" s="31">
        <f t="shared" si="95"/>
        <v>0</v>
      </c>
      <c r="V46" s="31">
        <f t="shared" si="95"/>
        <v>5628.7</v>
      </c>
      <c r="W46" s="31">
        <f t="shared" si="95"/>
        <v>2878838.4</v>
      </c>
      <c r="X46" s="31">
        <f t="shared" si="95"/>
        <v>0</v>
      </c>
      <c r="Y46" s="31">
        <f t="shared" si="95"/>
        <v>0</v>
      </c>
      <c r="Z46" s="31">
        <f t="shared" si="95"/>
        <v>0</v>
      </c>
      <c r="AA46" s="31">
        <f t="shared" si="95"/>
        <v>5628.7</v>
      </c>
      <c r="AB46" s="46">
        <f t="shared" si="23"/>
        <v>8653401.3</v>
      </c>
      <c r="AC46" s="31">
        <f t="shared" ref="AC46:AN46" si="96">SUM(AC47:AC49)</f>
        <v>2878732.8</v>
      </c>
      <c r="AD46" s="31">
        <f t="shared" si="96"/>
        <v>0</v>
      </c>
      <c r="AE46" s="31">
        <f t="shared" si="96"/>
        <v>0</v>
      </c>
      <c r="AF46" s="31">
        <f t="shared" si="96"/>
        <v>0</v>
      </c>
      <c r="AG46" s="31">
        <f t="shared" si="96"/>
        <v>0</v>
      </c>
      <c r="AH46" s="31">
        <f t="shared" si="96"/>
        <v>0</v>
      </c>
      <c r="AI46" s="31">
        <f t="shared" si="96"/>
        <v>0</v>
      </c>
      <c r="AJ46" s="31">
        <f t="shared" si="96"/>
        <v>0</v>
      </c>
      <c r="AK46" s="31">
        <f t="shared" si="96"/>
        <v>0</v>
      </c>
      <c r="AL46" s="31">
        <f t="shared" si="96"/>
        <v>0</v>
      </c>
      <c r="AM46" s="31">
        <f t="shared" si="96"/>
        <v>0</v>
      </c>
      <c r="AN46" s="31">
        <f t="shared" si="96"/>
        <v>6140.4</v>
      </c>
      <c r="AO46" s="46">
        <f t="shared" si="25"/>
        <v>2884873.2</v>
      </c>
    </row>
    <row r="47" spans="1:41">
      <c r="A47" s="32" t="s">
        <v>60</v>
      </c>
      <c r="B47" s="33"/>
      <c r="C47" s="30">
        <f t="shared" ref="C47:N47" si="97">C13*$H5</f>
        <v>0</v>
      </c>
      <c r="D47" s="30">
        <f t="shared" si="97"/>
        <v>0</v>
      </c>
      <c r="E47" s="30">
        <f t="shared" si="97"/>
        <v>0</v>
      </c>
      <c r="F47" s="30">
        <f t="shared" si="97"/>
        <v>0</v>
      </c>
      <c r="G47" s="30">
        <f t="shared" si="97"/>
        <v>0</v>
      </c>
      <c r="H47" s="30">
        <f t="shared" si="97"/>
        <v>0</v>
      </c>
      <c r="I47" s="30">
        <f t="shared" si="97"/>
        <v>0</v>
      </c>
      <c r="J47" s="30">
        <f t="shared" si="97"/>
        <v>0</v>
      </c>
      <c r="K47" s="30">
        <f t="shared" si="97"/>
        <v>0</v>
      </c>
      <c r="L47" s="30">
        <f t="shared" si="97"/>
        <v>0</v>
      </c>
      <c r="M47" s="30">
        <f t="shared" si="97"/>
        <v>75000</v>
      </c>
      <c r="N47" s="30">
        <f t="shared" si="97"/>
        <v>0</v>
      </c>
      <c r="O47" s="46">
        <f t="shared" si="21"/>
        <v>75000</v>
      </c>
      <c r="P47" s="30">
        <f t="shared" ref="P47:AA47" si="98">P13*$H5</f>
        <v>75000</v>
      </c>
      <c r="Q47" s="30">
        <f t="shared" si="98"/>
        <v>0</v>
      </c>
      <c r="R47" s="30">
        <f t="shared" si="98"/>
        <v>0</v>
      </c>
      <c r="S47" s="30">
        <f t="shared" si="98"/>
        <v>75000</v>
      </c>
      <c r="T47" s="30">
        <f t="shared" si="98"/>
        <v>0</v>
      </c>
      <c r="U47" s="30">
        <f t="shared" si="98"/>
        <v>0</v>
      </c>
      <c r="V47" s="30">
        <f t="shared" si="98"/>
        <v>0</v>
      </c>
      <c r="W47" s="30">
        <f t="shared" si="98"/>
        <v>75000</v>
      </c>
      <c r="X47" s="30">
        <f t="shared" si="98"/>
        <v>0</v>
      </c>
      <c r="Y47" s="30">
        <f t="shared" si="98"/>
        <v>0</v>
      </c>
      <c r="Z47" s="30">
        <f t="shared" si="98"/>
        <v>0</v>
      </c>
      <c r="AA47" s="30">
        <f t="shared" si="98"/>
        <v>0</v>
      </c>
      <c r="AB47" s="46">
        <f t="shared" si="23"/>
        <v>225000</v>
      </c>
      <c r="AC47" s="30">
        <f t="shared" ref="AC47:AN47" si="99">AC13*$H5</f>
        <v>75000</v>
      </c>
      <c r="AD47" s="30">
        <f t="shared" si="99"/>
        <v>0</v>
      </c>
      <c r="AE47" s="30">
        <f t="shared" si="99"/>
        <v>0</v>
      </c>
      <c r="AF47" s="30">
        <f t="shared" si="99"/>
        <v>0</v>
      </c>
      <c r="AG47" s="30">
        <f t="shared" si="99"/>
        <v>0</v>
      </c>
      <c r="AH47" s="30">
        <f t="shared" si="99"/>
        <v>0</v>
      </c>
      <c r="AI47" s="30">
        <f t="shared" si="99"/>
        <v>0</v>
      </c>
      <c r="AJ47" s="30">
        <f t="shared" si="99"/>
        <v>0</v>
      </c>
      <c r="AK47" s="30">
        <f t="shared" si="99"/>
        <v>0</v>
      </c>
      <c r="AL47" s="30">
        <f t="shared" si="99"/>
        <v>0</v>
      </c>
      <c r="AM47" s="30">
        <f t="shared" si="99"/>
        <v>0</v>
      </c>
      <c r="AN47" s="30">
        <f t="shared" si="99"/>
        <v>0</v>
      </c>
      <c r="AO47" s="46">
        <f t="shared" si="25"/>
        <v>75000</v>
      </c>
    </row>
    <row r="48" spans="1:41">
      <c r="A48" s="32" t="s">
        <v>61</v>
      </c>
      <c r="B48" s="33"/>
      <c r="C48" s="38">
        <f t="shared" ref="C48:N48" si="100">C21*$H1</f>
        <v>0</v>
      </c>
      <c r="D48" s="38">
        <f t="shared" si="100"/>
        <v>0</v>
      </c>
      <c r="E48" s="38">
        <f t="shared" si="100"/>
        <v>0</v>
      </c>
      <c r="F48" s="38">
        <f t="shared" si="100"/>
        <v>0</v>
      </c>
      <c r="G48" s="38">
        <f t="shared" si="100"/>
        <v>0</v>
      </c>
      <c r="H48" s="38">
        <f t="shared" si="100"/>
        <v>0</v>
      </c>
      <c r="I48" s="38">
        <f t="shared" si="100"/>
        <v>0</v>
      </c>
      <c r="J48" s="38">
        <f t="shared" si="100"/>
        <v>0</v>
      </c>
      <c r="K48" s="38">
        <f t="shared" si="100"/>
        <v>0</v>
      </c>
      <c r="L48" s="38">
        <f t="shared" si="100"/>
        <v>5117</v>
      </c>
      <c r="M48" s="38">
        <f t="shared" si="100"/>
        <v>1935</v>
      </c>
      <c r="N48" s="38">
        <f t="shared" si="100"/>
        <v>5117</v>
      </c>
      <c r="O48" s="46">
        <f t="shared" si="21"/>
        <v>12169</v>
      </c>
      <c r="P48" s="38">
        <f t="shared" ref="P48:AA48" si="101">P21*$H1</f>
        <v>2128.5</v>
      </c>
      <c r="Q48" s="38">
        <f t="shared" si="101"/>
        <v>0</v>
      </c>
      <c r="R48" s="38">
        <f t="shared" si="101"/>
        <v>5628.7</v>
      </c>
      <c r="S48" s="38">
        <f t="shared" si="101"/>
        <v>2128.5</v>
      </c>
      <c r="T48" s="38">
        <f t="shared" si="101"/>
        <v>0</v>
      </c>
      <c r="U48" s="38">
        <f t="shared" si="101"/>
        <v>0</v>
      </c>
      <c r="V48" s="38">
        <f t="shared" si="101"/>
        <v>5628.7</v>
      </c>
      <c r="W48" s="38">
        <f t="shared" si="101"/>
        <v>2128.5</v>
      </c>
      <c r="X48" s="38">
        <f t="shared" si="101"/>
        <v>0</v>
      </c>
      <c r="Y48" s="38">
        <f t="shared" si="101"/>
        <v>0</v>
      </c>
      <c r="Z48" s="38">
        <f t="shared" si="101"/>
        <v>0</v>
      </c>
      <c r="AA48" s="38">
        <f t="shared" si="101"/>
        <v>5628.7</v>
      </c>
      <c r="AB48" s="46">
        <f t="shared" si="23"/>
        <v>23271.6</v>
      </c>
      <c r="AC48" s="38">
        <f t="shared" ref="AC48:AN48" si="102">AC21*$H1</f>
        <v>2322</v>
      </c>
      <c r="AD48" s="38">
        <f t="shared" si="102"/>
        <v>0</v>
      </c>
      <c r="AE48" s="38">
        <f t="shared" si="102"/>
        <v>0</v>
      </c>
      <c r="AF48" s="38">
        <f t="shared" si="102"/>
        <v>0</v>
      </c>
      <c r="AG48" s="38">
        <f t="shared" si="102"/>
        <v>0</v>
      </c>
      <c r="AH48" s="38">
        <f t="shared" si="102"/>
        <v>0</v>
      </c>
      <c r="AI48" s="38">
        <f t="shared" si="102"/>
        <v>0</v>
      </c>
      <c r="AJ48" s="38">
        <f t="shared" si="102"/>
        <v>0</v>
      </c>
      <c r="AK48" s="38">
        <f t="shared" si="102"/>
        <v>0</v>
      </c>
      <c r="AL48" s="38">
        <f t="shared" si="102"/>
        <v>0</v>
      </c>
      <c r="AM48" s="38">
        <f t="shared" si="102"/>
        <v>0</v>
      </c>
      <c r="AN48" s="38">
        <f t="shared" si="102"/>
        <v>6140.4</v>
      </c>
      <c r="AO48" s="46">
        <f t="shared" si="25"/>
        <v>8462.4</v>
      </c>
    </row>
    <row r="49" spans="1:41">
      <c r="A49" s="32" t="s">
        <v>62</v>
      </c>
      <c r="B49" s="33"/>
      <c r="C49" s="38">
        <f t="shared" ref="C49:N49" si="103">IF((C13-C18-C47-C48)&gt;0,(C13-C18-C47-C48)*$H2,0)</f>
        <v>0</v>
      </c>
      <c r="D49" s="38">
        <f t="shared" si="103"/>
        <v>0</v>
      </c>
      <c r="E49" s="38">
        <f t="shared" si="103"/>
        <v>0</v>
      </c>
      <c r="F49" s="38">
        <f t="shared" si="103"/>
        <v>0</v>
      </c>
      <c r="G49" s="38">
        <f t="shared" si="103"/>
        <v>0</v>
      </c>
      <c r="H49" s="38">
        <f t="shared" si="103"/>
        <v>0</v>
      </c>
      <c r="I49" s="38">
        <f t="shared" si="103"/>
        <v>0</v>
      </c>
      <c r="J49" s="38">
        <f t="shared" si="103"/>
        <v>0</v>
      </c>
      <c r="K49" s="38">
        <f t="shared" si="103"/>
        <v>0</v>
      </c>
      <c r="L49" s="38">
        <f t="shared" si="103"/>
        <v>0</v>
      </c>
      <c r="M49" s="38">
        <f t="shared" si="103"/>
        <v>2802009</v>
      </c>
      <c r="N49" s="38">
        <f t="shared" si="103"/>
        <v>0</v>
      </c>
      <c r="O49" s="46">
        <f t="shared" si="21"/>
        <v>2802009</v>
      </c>
      <c r="P49" s="38">
        <f t="shared" ref="P49:AA49" si="104">IF((P13-P18-P47-P48)&gt;0,(P13-P18-P47-P48)*$H2,0)</f>
        <v>2801709.9</v>
      </c>
      <c r="Q49" s="38">
        <f t="shared" si="104"/>
        <v>0</v>
      </c>
      <c r="R49" s="38">
        <f t="shared" si="104"/>
        <v>0</v>
      </c>
      <c r="S49" s="38">
        <f t="shared" si="104"/>
        <v>2801709.9</v>
      </c>
      <c r="T49" s="38">
        <f t="shared" si="104"/>
        <v>0</v>
      </c>
      <c r="U49" s="38">
        <f t="shared" si="104"/>
        <v>0</v>
      </c>
      <c r="V49" s="38">
        <f t="shared" si="104"/>
        <v>0</v>
      </c>
      <c r="W49" s="38">
        <f t="shared" si="104"/>
        <v>2801709.9</v>
      </c>
      <c r="X49" s="38">
        <f t="shared" si="104"/>
        <v>0</v>
      </c>
      <c r="Y49" s="38">
        <f t="shared" si="104"/>
        <v>0</v>
      </c>
      <c r="Z49" s="38">
        <f t="shared" si="104"/>
        <v>0</v>
      </c>
      <c r="AA49" s="38">
        <f t="shared" si="104"/>
        <v>0</v>
      </c>
      <c r="AB49" s="46">
        <f t="shared" ref="AB49" si="105">SUM(P49:AA49)</f>
        <v>8405129.7</v>
      </c>
      <c r="AC49" s="38">
        <f t="shared" ref="AC49:AN49" si="106">IF((AC13-AC18-AC47-AC48)&gt;0,(AC13-AC18-AC47-AC48)*$H2,0)</f>
        <v>2801410.8</v>
      </c>
      <c r="AD49" s="38">
        <f t="shared" si="106"/>
        <v>0</v>
      </c>
      <c r="AE49" s="38">
        <f t="shared" si="106"/>
        <v>0</v>
      </c>
      <c r="AF49" s="38">
        <f t="shared" si="106"/>
        <v>0</v>
      </c>
      <c r="AG49" s="38">
        <f t="shared" si="106"/>
        <v>0</v>
      </c>
      <c r="AH49" s="38">
        <f t="shared" si="106"/>
        <v>0</v>
      </c>
      <c r="AI49" s="38">
        <f t="shared" si="106"/>
        <v>0</v>
      </c>
      <c r="AJ49" s="38">
        <f t="shared" si="106"/>
        <v>0</v>
      </c>
      <c r="AK49" s="38">
        <f t="shared" si="106"/>
        <v>0</v>
      </c>
      <c r="AL49" s="38">
        <f t="shared" si="106"/>
        <v>0</v>
      </c>
      <c r="AM49" s="38">
        <f t="shared" si="106"/>
        <v>0</v>
      </c>
      <c r="AN49" s="38">
        <f t="shared" si="106"/>
        <v>0</v>
      </c>
      <c r="AO49" s="46">
        <f t="shared" si="25"/>
        <v>2801410.8</v>
      </c>
    </row>
    <row r="50" spans="1:41">
      <c r="A50" s="27" t="s">
        <v>63</v>
      </c>
      <c r="B50" s="27"/>
      <c r="C50" s="31">
        <f t="shared" ref="C50:N50" si="107">SUM(C51:C52)</f>
        <v>1666666.66666667</v>
      </c>
      <c r="D50" s="31">
        <f t="shared" si="107"/>
        <v>1666666.66666667</v>
      </c>
      <c r="E50" s="31">
        <f t="shared" si="107"/>
        <v>1666666.66666667</v>
      </c>
      <c r="F50" s="31">
        <f t="shared" si="107"/>
        <v>1666666.66666667</v>
      </c>
      <c r="G50" s="31">
        <f t="shared" si="107"/>
        <v>1666666.66666667</v>
      </c>
      <c r="H50" s="31">
        <f t="shared" si="107"/>
        <v>1666666.66666667</v>
      </c>
      <c r="I50" s="31">
        <f t="shared" si="107"/>
        <v>1666666.66666667</v>
      </c>
      <c r="J50" s="31">
        <f t="shared" si="107"/>
        <v>1666666.66666667</v>
      </c>
      <c r="K50" s="31">
        <f t="shared" si="107"/>
        <v>1696380.95238095</v>
      </c>
      <c r="L50" s="31">
        <f t="shared" si="107"/>
        <v>0</v>
      </c>
      <c r="M50" s="31">
        <f t="shared" si="107"/>
        <v>0</v>
      </c>
      <c r="N50" s="31">
        <f t="shared" si="107"/>
        <v>0</v>
      </c>
      <c r="O50" s="46">
        <f t="shared" ref="O50:O52" si="108">SUM(C50:N50)</f>
        <v>15029714.2857143</v>
      </c>
      <c r="P50" s="31">
        <f t="shared" ref="P50:AA50" si="109">SUM(P51:P52)</f>
        <v>0</v>
      </c>
      <c r="Q50" s="31">
        <f t="shared" si="109"/>
        <v>0</v>
      </c>
      <c r="R50" s="31">
        <f t="shared" si="109"/>
        <v>0</v>
      </c>
      <c r="S50" s="31">
        <f t="shared" si="109"/>
        <v>0</v>
      </c>
      <c r="T50" s="31">
        <f t="shared" si="109"/>
        <v>0</v>
      </c>
      <c r="U50" s="31">
        <f t="shared" si="109"/>
        <v>0</v>
      </c>
      <c r="V50" s="31">
        <f t="shared" si="109"/>
        <v>0</v>
      </c>
      <c r="W50" s="31">
        <f t="shared" si="109"/>
        <v>0</v>
      </c>
      <c r="X50" s="31">
        <f t="shared" si="109"/>
        <v>0</v>
      </c>
      <c r="Y50" s="31">
        <f t="shared" si="109"/>
        <v>0</v>
      </c>
      <c r="Z50" s="31">
        <f t="shared" si="109"/>
        <v>0</v>
      </c>
      <c r="AA50" s="31">
        <f t="shared" si="109"/>
        <v>0</v>
      </c>
      <c r="AB50" s="46">
        <f t="shared" ref="AB50:AB52" si="110">SUM(P50:AA50)</f>
        <v>0</v>
      </c>
      <c r="AC50" s="31">
        <f t="shared" ref="AC50:AN50" si="111">SUM(AC51:AC52)</f>
        <v>0</v>
      </c>
      <c r="AD50" s="31">
        <f t="shared" si="111"/>
        <v>0</v>
      </c>
      <c r="AE50" s="31">
        <f t="shared" si="111"/>
        <v>0</v>
      </c>
      <c r="AF50" s="31">
        <f t="shared" si="111"/>
        <v>0</v>
      </c>
      <c r="AG50" s="31">
        <f t="shared" si="111"/>
        <v>0</v>
      </c>
      <c r="AH50" s="31">
        <f t="shared" si="111"/>
        <v>0</v>
      </c>
      <c r="AI50" s="31">
        <f t="shared" si="111"/>
        <v>0</v>
      </c>
      <c r="AJ50" s="31">
        <f t="shared" si="111"/>
        <v>0</v>
      </c>
      <c r="AK50" s="31">
        <f t="shared" si="111"/>
        <v>0</v>
      </c>
      <c r="AL50" s="31">
        <f t="shared" si="111"/>
        <v>0</v>
      </c>
      <c r="AM50" s="31">
        <f t="shared" si="111"/>
        <v>0</v>
      </c>
      <c r="AN50" s="31">
        <f t="shared" si="111"/>
        <v>0</v>
      </c>
      <c r="AO50" s="46">
        <f t="shared" ref="AO50:AO52" si="112">SUM(AC50:AN50)</f>
        <v>0</v>
      </c>
    </row>
    <row r="51" spans="1:41">
      <c r="A51" s="32" t="s">
        <v>64</v>
      </c>
      <c r="B51" s="13">
        <v>15000000</v>
      </c>
      <c r="C51" s="36">
        <f t="shared" ref="C51:N51" si="113">IF(C10&lt;=$H8,$B51/$H8,0)</f>
        <v>1666666.66666667</v>
      </c>
      <c r="D51" s="36">
        <f t="shared" si="113"/>
        <v>1666666.66666667</v>
      </c>
      <c r="E51" s="36">
        <f t="shared" si="113"/>
        <v>1666666.66666667</v>
      </c>
      <c r="F51" s="36">
        <f t="shared" si="113"/>
        <v>1666666.66666667</v>
      </c>
      <c r="G51" s="36">
        <f t="shared" si="113"/>
        <v>1666666.66666667</v>
      </c>
      <c r="H51" s="36">
        <f t="shared" si="113"/>
        <v>1666666.66666667</v>
      </c>
      <c r="I51" s="36">
        <f t="shared" si="113"/>
        <v>1666666.66666667</v>
      </c>
      <c r="J51" s="36">
        <f t="shared" si="113"/>
        <v>1666666.66666667</v>
      </c>
      <c r="K51" s="36">
        <f t="shared" si="113"/>
        <v>1666666.66666667</v>
      </c>
      <c r="L51" s="36">
        <f t="shared" si="113"/>
        <v>0</v>
      </c>
      <c r="M51" s="36">
        <f t="shared" si="113"/>
        <v>0</v>
      </c>
      <c r="N51" s="36">
        <f t="shared" si="113"/>
        <v>0</v>
      </c>
      <c r="O51" s="46">
        <f t="shared" si="108"/>
        <v>15000000</v>
      </c>
      <c r="P51" s="36">
        <f t="shared" ref="P51:AA51" si="114">IF(P10&lt;=$H8,$B51/$H8,0)</f>
        <v>0</v>
      </c>
      <c r="Q51" s="36">
        <f t="shared" si="114"/>
        <v>0</v>
      </c>
      <c r="R51" s="36">
        <f t="shared" si="114"/>
        <v>0</v>
      </c>
      <c r="S51" s="36">
        <f t="shared" si="114"/>
        <v>0</v>
      </c>
      <c r="T51" s="36">
        <f t="shared" si="114"/>
        <v>0</v>
      </c>
      <c r="U51" s="36">
        <f t="shared" si="114"/>
        <v>0</v>
      </c>
      <c r="V51" s="36">
        <f t="shared" si="114"/>
        <v>0</v>
      </c>
      <c r="W51" s="36">
        <f t="shared" si="114"/>
        <v>0</v>
      </c>
      <c r="X51" s="36">
        <f t="shared" si="114"/>
        <v>0</v>
      </c>
      <c r="Y51" s="36">
        <f t="shared" si="114"/>
        <v>0</v>
      </c>
      <c r="Z51" s="36">
        <f t="shared" si="114"/>
        <v>0</v>
      </c>
      <c r="AA51" s="36">
        <f t="shared" si="114"/>
        <v>0</v>
      </c>
      <c r="AB51" s="46">
        <f t="shared" si="110"/>
        <v>0</v>
      </c>
      <c r="AC51" s="36">
        <f t="shared" ref="AC51:AN51" si="115">IF(AC10&lt;=$H8,$B51/$H8,0)</f>
        <v>0</v>
      </c>
      <c r="AD51" s="36">
        <f t="shared" si="115"/>
        <v>0</v>
      </c>
      <c r="AE51" s="36">
        <f t="shared" si="115"/>
        <v>0</v>
      </c>
      <c r="AF51" s="36">
        <f t="shared" si="115"/>
        <v>0</v>
      </c>
      <c r="AG51" s="36">
        <f t="shared" si="115"/>
        <v>0</v>
      </c>
      <c r="AH51" s="36">
        <f t="shared" si="115"/>
        <v>0</v>
      </c>
      <c r="AI51" s="36">
        <f t="shared" si="115"/>
        <v>0</v>
      </c>
      <c r="AJ51" s="36">
        <f t="shared" si="115"/>
        <v>0</v>
      </c>
      <c r="AK51" s="36">
        <f t="shared" si="115"/>
        <v>0</v>
      </c>
      <c r="AL51" s="36">
        <f t="shared" si="115"/>
        <v>0</v>
      </c>
      <c r="AM51" s="36">
        <f t="shared" si="115"/>
        <v>0</v>
      </c>
      <c r="AN51" s="36">
        <f t="shared" si="115"/>
        <v>0</v>
      </c>
      <c r="AO51" s="46">
        <f t="shared" si="112"/>
        <v>0</v>
      </c>
    </row>
    <row r="52" spans="1:41">
      <c r="A52" s="32" t="s">
        <v>65</v>
      </c>
      <c r="B52" s="33"/>
      <c r="C52" s="38">
        <f>IF(D10=$H8+1,'Разовые расходы'!$B21,0)</f>
        <v>0</v>
      </c>
      <c r="D52" s="38">
        <f>IF(E10=$H8+1,'Разовые расходы'!$B21,0)</f>
        <v>0</v>
      </c>
      <c r="E52" s="38">
        <f>IF(F10=$H8+1,'Разовые расходы'!$B21,0)</f>
        <v>0</v>
      </c>
      <c r="F52" s="38">
        <f>IF(G10=$H8+1,'Разовые расходы'!$B21,0)</f>
        <v>0</v>
      </c>
      <c r="G52" s="38">
        <f>IF(H10=$H8+1,'Разовые расходы'!$B21,0)</f>
        <v>0</v>
      </c>
      <c r="H52" s="38">
        <f>IF(I10=$H8+1,'Разовые расходы'!$B21,0)</f>
        <v>0</v>
      </c>
      <c r="I52" s="38">
        <f>IF(J10=$H8+1,'Разовые расходы'!$B21,0)</f>
        <v>0</v>
      </c>
      <c r="J52" s="38">
        <f>IF(K10=$H8+1,'Разовые расходы'!$B21,0)</f>
        <v>0</v>
      </c>
      <c r="K52" s="38">
        <f>IF(L10=$H8+1,'Разовые расходы'!$B21,0)</f>
        <v>29714.2857142857</v>
      </c>
      <c r="L52" s="38">
        <f>IF(M10=$H8+1,'Разовые расходы'!$B21,0)</f>
        <v>0</v>
      </c>
      <c r="M52" s="38">
        <f>IF(N10=$H8+1,'Разовые расходы'!$B21,0)</f>
        <v>0</v>
      </c>
      <c r="N52" s="38">
        <f>IF(O10=$H8+1,'Разовые расходы'!$B21,0)</f>
        <v>0</v>
      </c>
      <c r="O52" s="46">
        <f t="shared" si="108"/>
        <v>29714.2857142857</v>
      </c>
      <c r="P52" s="38">
        <f>IF(Q10=$H8+1,'Разовые расходы'!$B21,0)</f>
        <v>0</v>
      </c>
      <c r="Q52" s="38">
        <f>IF(R10=$H8+1,'Разовые расходы'!$B21,0)</f>
        <v>0</v>
      </c>
      <c r="R52" s="38">
        <f>IF(S10=$H8+1,'Разовые расходы'!$B21,0)</f>
        <v>0</v>
      </c>
      <c r="S52" s="38">
        <f>IF(T10=$H8+1,'Разовые расходы'!$B21,0)</f>
        <v>0</v>
      </c>
      <c r="T52" s="38">
        <f>IF(U10=$H8+1,'Разовые расходы'!$B21,0)</f>
        <v>0</v>
      </c>
      <c r="U52" s="38">
        <f>IF(V10=$H8+1,'Разовые расходы'!$B21,0)</f>
        <v>0</v>
      </c>
      <c r="V52" s="38">
        <f>IF(W10=$H8+1,'Разовые расходы'!$B21,0)</f>
        <v>0</v>
      </c>
      <c r="W52" s="38">
        <f>IF(X10=$H8+1,'Разовые расходы'!$B21,0)</f>
        <v>0</v>
      </c>
      <c r="X52" s="38">
        <f>IF(Y10=$H8+1,'Разовые расходы'!$B21,0)</f>
        <v>0</v>
      </c>
      <c r="Y52" s="38">
        <f>IF(Z10=$H8+1,'Разовые расходы'!$B21,0)</f>
        <v>0</v>
      </c>
      <c r="Z52" s="38">
        <f>IF(AA10=$H8+1,'Разовые расходы'!$B21,0)</f>
        <v>0</v>
      </c>
      <c r="AA52" s="38">
        <f>IF(AB10=$H8+1,'Разовые расходы'!$B21,0)</f>
        <v>0</v>
      </c>
      <c r="AB52" s="46">
        <f t="shared" si="110"/>
        <v>0</v>
      </c>
      <c r="AC52" s="38">
        <f>IF(AD10=$H8+1,'Разовые расходы'!$B21,0)</f>
        <v>0</v>
      </c>
      <c r="AD52" s="38">
        <f>IF(AE10=$H8+1,'Разовые расходы'!$B21,0)</f>
        <v>0</v>
      </c>
      <c r="AE52" s="38">
        <f>IF(AF10=$H8+1,'Разовые расходы'!$B21,0)</f>
        <v>0</v>
      </c>
      <c r="AF52" s="38">
        <f>IF(AG10=$H8+1,'Разовые расходы'!$B21,0)</f>
        <v>0</v>
      </c>
      <c r="AG52" s="38">
        <f>IF(AH10=$H8+1,'Разовые расходы'!$B21,0)</f>
        <v>0</v>
      </c>
      <c r="AH52" s="38">
        <f>IF(AI10=$H8+1,'Разовые расходы'!$B21,0)</f>
        <v>0</v>
      </c>
      <c r="AI52" s="38">
        <f>IF(AJ10=$H8+1,'Разовые расходы'!$B21,0)</f>
        <v>0</v>
      </c>
      <c r="AJ52" s="38">
        <f>IF(AK10=$H8+1,'Разовые расходы'!$B21,0)</f>
        <v>0</v>
      </c>
      <c r="AK52" s="38">
        <f>IF(AL10=$H8+1,'Разовые расходы'!$B21,0)</f>
        <v>0</v>
      </c>
      <c r="AL52" s="38">
        <f>IF(AM10=$H8+1,'Разовые расходы'!$B21,0)</f>
        <v>0</v>
      </c>
      <c r="AM52" s="38">
        <f>IF(AN10=$H8+1,'Разовые расходы'!$B21,0)</f>
        <v>0</v>
      </c>
      <c r="AN52" s="38">
        <f>IF(AO10=$H8+1,'Разовые расходы'!$B21,0)</f>
        <v>0</v>
      </c>
      <c r="AO52" s="46">
        <f t="shared" si="112"/>
        <v>0</v>
      </c>
    </row>
    <row r="53" spans="1:41">
      <c r="A53" s="27" t="s">
        <v>66</v>
      </c>
      <c r="B53" s="27"/>
      <c r="C53" s="31">
        <f t="shared" ref="C53:N53" si="116">C13-C18-C46-C50</f>
        <v>-1666666.66666667</v>
      </c>
      <c r="D53" s="31">
        <f t="shared" si="116"/>
        <v>-1666666.66666667</v>
      </c>
      <c r="E53" s="31">
        <f t="shared" si="116"/>
        <v>-1666666.66666667</v>
      </c>
      <c r="F53" s="31">
        <f t="shared" si="116"/>
        <v>-1666666.66666667</v>
      </c>
      <c r="G53" s="31">
        <f t="shared" si="116"/>
        <v>-1666666.66666667</v>
      </c>
      <c r="H53" s="31">
        <f t="shared" si="116"/>
        <v>-1666666.66666667</v>
      </c>
      <c r="I53" s="31">
        <f t="shared" si="116"/>
        <v>-1666666.66666667</v>
      </c>
      <c r="J53" s="31">
        <f t="shared" si="116"/>
        <v>-1666666.66666667</v>
      </c>
      <c r="K53" s="31">
        <f t="shared" si="116"/>
        <v>-1696380.95238095</v>
      </c>
      <c r="L53" s="31">
        <f t="shared" si="116"/>
        <v>-24317</v>
      </c>
      <c r="M53" s="31">
        <f t="shared" si="116"/>
        <v>11208036</v>
      </c>
      <c r="N53" s="31">
        <f t="shared" si="116"/>
        <v>-24317</v>
      </c>
      <c r="O53" s="46">
        <f t="shared" si="21"/>
        <v>-3870312.28571428</v>
      </c>
      <c r="P53" s="31">
        <f t="shared" ref="P53:AA53" si="117">P13-P18-P46-P50</f>
        <v>11206839.6</v>
      </c>
      <c r="Q53" s="31">
        <f t="shared" si="117"/>
        <v>0</v>
      </c>
      <c r="R53" s="31">
        <f t="shared" si="117"/>
        <v>-23558.7</v>
      </c>
      <c r="S53" s="31">
        <f t="shared" si="117"/>
        <v>11206839.6</v>
      </c>
      <c r="T53" s="31">
        <f t="shared" si="117"/>
        <v>0</v>
      </c>
      <c r="U53" s="31">
        <f t="shared" si="117"/>
        <v>0</v>
      </c>
      <c r="V53" s="31">
        <f t="shared" si="117"/>
        <v>-23558.7</v>
      </c>
      <c r="W53" s="31">
        <f t="shared" si="117"/>
        <v>11206839.6</v>
      </c>
      <c r="X53" s="31">
        <f t="shared" si="117"/>
        <v>0</v>
      </c>
      <c r="Y53" s="31">
        <f t="shared" si="117"/>
        <v>0</v>
      </c>
      <c r="Z53" s="31">
        <f t="shared" si="117"/>
        <v>0</v>
      </c>
      <c r="AA53" s="31">
        <f t="shared" si="117"/>
        <v>-23558.7</v>
      </c>
      <c r="AB53" s="46">
        <f t="shared" si="23"/>
        <v>33549842.7</v>
      </c>
      <c r="AC53" s="31">
        <f t="shared" ref="AC53:AN53" si="118">AC13-AC18-AC46-AC50</f>
        <v>11205643.2</v>
      </c>
      <c r="AD53" s="31">
        <f t="shared" si="118"/>
        <v>0</v>
      </c>
      <c r="AE53" s="31">
        <f t="shared" si="118"/>
        <v>0</v>
      </c>
      <c r="AF53" s="31">
        <f t="shared" si="118"/>
        <v>0</v>
      </c>
      <c r="AG53" s="31">
        <f t="shared" si="118"/>
        <v>0</v>
      </c>
      <c r="AH53" s="31">
        <f t="shared" si="118"/>
        <v>0</v>
      </c>
      <c r="AI53" s="31">
        <f t="shared" si="118"/>
        <v>0</v>
      </c>
      <c r="AJ53" s="31">
        <f t="shared" si="118"/>
        <v>0</v>
      </c>
      <c r="AK53" s="31">
        <f t="shared" si="118"/>
        <v>0</v>
      </c>
      <c r="AL53" s="31">
        <f t="shared" si="118"/>
        <v>0</v>
      </c>
      <c r="AM53" s="31">
        <f t="shared" si="118"/>
        <v>0</v>
      </c>
      <c r="AN53" s="31">
        <f t="shared" si="118"/>
        <v>-25700.4</v>
      </c>
      <c r="AO53" s="46">
        <f t="shared" si="25"/>
        <v>11179942.8</v>
      </c>
    </row>
    <row r="54" s="8" customFormat="1" spans="1:41">
      <c r="A54" s="39"/>
      <c r="B54" s="39"/>
      <c r="C54" s="40">
        <f t="shared" ref="C54:N54" si="119">C53/(1+$M1/12)^(C10-1)</f>
        <v>-1666666.66666667</v>
      </c>
      <c r="D54" s="40">
        <f t="shared" si="119"/>
        <v>-1639344.26229508</v>
      </c>
      <c r="E54" s="40">
        <f t="shared" si="119"/>
        <v>-1612469.76619188</v>
      </c>
      <c r="F54" s="40">
        <f t="shared" si="119"/>
        <v>-1586035.83559857</v>
      </c>
      <c r="G54" s="40">
        <f t="shared" si="119"/>
        <v>-1560035.24812975</v>
      </c>
      <c r="H54" s="40">
        <f t="shared" si="119"/>
        <v>-1534460.89979975</v>
      </c>
      <c r="I54" s="40">
        <f t="shared" si="119"/>
        <v>-1509305.80308172</v>
      </c>
      <c r="J54" s="40">
        <f t="shared" si="119"/>
        <v>-1484563.08499841</v>
      </c>
      <c r="K54" s="40">
        <f t="shared" si="119"/>
        <v>-1486259.72852413</v>
      </c>
      <c r="L54" s="40">
        <f t="shared" si="119"/>
        <v>-20955.7270523725</v>
      </c>
      <c r="M54" s="40">
        <f t="shared" si="119"/>
        <v>9500438.93771265</v>
      </c>
      <c r="N54" s="40">
        <f t="shared" si="119"/>
        <v>-20274.285780312</v>
      </c>
      <c r="O54" s="47"/>
      <c r="P54" s="40">
        <f t="shared" ref="P54:AA54" si="120">P53/(1+$M1/12)^(P10-1)</f>
        <v>9190521.18613035</v>
      </c>
      <c r="Q54" s="40">
        <f t="shared" si="120"/>
        <v>0</v>
      </c>
      <c r="R54" s="40">
        <f t="shared" si="120"/>
        <v>-18691.8004983137</v>
      </c>
      <c r="S54" s="40">
        <f t="shared" si="120"/>
        <v>8745897.56941839</v>
      </c>
      <c r="T54" s="40">
        <f t="shared" si="120"/>
        <v>0</v>
      </c>
      <c r="U54" s="40">
        <f t="shared" si="120"/>
        <v>0</v>
      </c>
      <c r="V54" s="40">
        <f t="shared" si="120"/>
        <v>-17495.9205770271</v>
      </c>
      <c r="W54" s="40">
        <f t="shared" si="120"/>
        <v>8186345.09089497</v>
      </c>
      <c r="X54" s="40">
        <f t="shared" si="120"/>
        <v>0</v>
      </c>
      <c r="Y54" s="40">
        <f t="shared" si="120"/>
        <v>0</v>
      </c>
      <c r="Z54" s="40">
        <f t="shared" si="120"/>
        <v>0</v>
      </c>
      <c r="AA54" s="40">
        <f t="shared" si="120"/>
        <v>-16108.08361887</v>
      </c>
      <c r="AB54" s="47"/>
      <c r="AC54" s="40">
        <f t="shared" ref="AC54:AN54" si="121">AC53/(1+$M1/12)^(AC10-1)</f>
        <v>7536171.25338145</v>
      </c>
      <c r="AD54" s="40">
        <f t="shared" si="121"/>
        <v>0</v>
      </c>
      <c r="AE54" s="40">
        <f t="shared" si="121"/>
        <v>0</v>
      </c>
      <c r="AF54" s="40">
        <f t="shared" si="121"/>
        <v>0</v>
      </c>
      <c r="AG54" s="40">
        <f t="shared" si="121"/>
        <v>0</v>
      </c>
      <c r="AH54" s="40">
        <f t="shared" si="121"/>
        <v>0</v>
      </c>
      <c r="AI54" s="40">
        <f t="shared" si="121"/>
        <v>0</v>
      </c>
      <c r="AJ54" s="40">
        <f t="shared" si="121"/>
        <v>0</v>
      </c>
      <c r="AK54" s="40">
        <f t="shared" si="121"/>
        <v>0</v>
      </c>
      <c r="AL54" s="40">
        <f t="shared" si="121"/>
        <v>0</v>
      </c>
      <c r="AM54" s="40">
        <f t="shared" si="121"/>
        <v>0</v>
      </c>
      <c r="AN54" s="40">
        <f t="shared" si="121"/>
        <v>-14410.8441290718</v>
      </c>
      <c r="AO54" s="48"/>
    </row>
    <row r="55" s="9" customFormat="1" spans="1:41">
      <c r="A55" s="10"/>
      <c r="B55" s="10"/>
      <c r="C55" s="53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O55" s="49"/>
    </row>
    <row r="56" s="9" customFormat="1" spans="1:41">
      <c r="A56" s="10"/>
      <c r="B56" s="10"/>
      <c r="C56" s="53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O56" s="49"/>
    </row>
    <row r="57" s="9" customFormat="1" spans="1:41">
      <c r="A57" s="10"/>
      <c r="B57" s="10"/>
      <c r="C57" s="53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O57" s="49"/>
    </row>
    <row r="58" s="9" customFormat="1" spans="1:41">
      <c r="A58" s="10"/>
      <c r="B58" s="10"/>
      <c r="C58" s="53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O58" s="49"/>
    </row>
    <row r="59" s="9" customFormat="1" spans="1:41">
      <c r="A59" s="10"/>
      <c r="B59" s="10"/>
      <c r="C59" s="53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O59" s="49"/>
    </row>
    <row r="60" s="9" customFormat="1" spans="1:41">
      <c r="A60" s="10"/>
      <c r="B60" s="10"/>
      <c r="C60" s="53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O60" s="49"/>
    </row>
    <row r="61" s="9" customFormat="1" spans="1:41">
      <c r="A61" s="10"/>
      <c r="B61" s="10"/>
      <c r="C61" s="53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O61" s="49"/>
    </row>
    <row r="62" s="9" customFormat="1" spans="1:41">
      <c r="A62" s="10"/>
      <c r="B62" s="10"/>
      <c r="C62" s="53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O62" s="49"/>
    </row>
    <row r="63" s="9" customFormat="1" spans="1:4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O63" s="49"/>
    </row>
    <row r="64" s="9" customFormat="1" spans="1:4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O64" s="49"/>
    </row>
    <row r="65" s="9" customFormat="1" spans="1:4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O65" s="49"/>
    </row>
    <row r="66" s="9" customFormat="1" spans="1:4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1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O66" s="49"/>
    </row>
    <row r="67" s="9" customFormat="1" spans="1:4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1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O67" s="49"/>
    </row>
    <row r="68" s="9" customFormat="1" spans="1:4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1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O68" s="49"/>
    </row>
    <row r="69" s="9" customFormat="1" spans="1:4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1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O69" s="49"/>
    </row>
    <row r="70" s="9" customFormat="1" spans="1:4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1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O70" s="49"/>
    </row>
    <row r="71" s="9" customFormat="1" spans="1:4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1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O71" s="49"/>
    </row>
    <row r="72" s="9" customFormat="1" spans="1:4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1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O72" s="49"/>
    </row>
    <row r="73" s="9" customFormat="1" spans="1:4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1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O73" s="49"/>
    </row>
    <row r="74" s="9" customFormat="1" spans="1:4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1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O74" s="49"/>
    </row>
    <row r="75" s="9" customFormat="1" spans="1:4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1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O75" s="49"/>
    </row>
    <row r="76" s="9" customFormat="1" spans="1:4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1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O76" s="49"/>
    </row>
    <row r="77" s="9" customFormat="1" spans="1:4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O77" s="49"/>
    </row>
    <row r="78" s="9" customFormat="1" spans="1:4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O78" s="49"/>
    </row>
    <row r="79" s="9" customFormat="1" spans="1:4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1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O79" s="49"/>
    </row>
    <row r="80" s="9" customFormat="1" spans="1:4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1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O80" s="49"/>
    </row>
    <row r="81" s="9" customFormat="1" spans="1:4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1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O81" s="49"/>
    </row>
    <row r="82" s="9" customFormat="1" spans="1:4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1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O82" s="49"/>
    </row>
    <row r="83" s="9" customFormat="1" spans="1:4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1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O83" s="49"/>
    </row>
    <row r="84" s="9" customFormat="1" spans="1:4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1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O84" s="49"/>
    </row>
    <row r="85" s="9" customFormat="1" spans="1:4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O85" s="49"/>
    </row>
  </sheetData>
  <mergeCells count="15">
    <mergeCell ref="E1:G1"/>
    <mergeCell ref="J1:L1"/>
    <mergeCell ref="E2:G2"/>
    <mergeCell ref="J2:L2"/>
    <mergeCell ref="E3:G3"/>
    <mergeCell ref="J3:L3"/>
    <mergeCell ref="E4:G4"/>
    <mergeCell ref="J4:L4"/>
    <mergeCell ref="E5:G5"/>
    <mergeCell ref="J5:L5"/>
    <mergeCell ref="E6:G6"/>
    <mergeCell ref="J6:L6"/>
    <mergeCell ref="E7:G7"/>
    <mergeCell ref="J7:L7"/>
    <mergeCell ref="E8:G8"/>
  </mergeCells>
  <pageMargins left="0.708661417322835" right="0.708661417322835" top="0.748031496062992" bottom="0.748031496062992" header="0.31496062992126" footer="0.31496062992126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86"/>
  <sheetViews>
    <sheetView tabSelected="1" zoomScale="80" zoomScaleNormal="80" zoomScaleSheetLayoutView="80" workbookViewId="0">
      <selection activeCell="H9" sqref="H9"/>
    </sheetView>
  </sheetViews>
  <sheetFormatPr defaultColWidth="9.14285714285714" defaultRowHeight="15.75"/>
  <cols>
    <col min="1" max="1" width="40" style="10" customWidth="1"/>
    <col min="2" max="2" width="14.8571428571429" style="10" customWidth="1"/>
    <col min="3" max="3" width="16.7142857142857" style="10" customWidth="1"/>
    <col min="4" max="14" width="15.2857142857143" style="10" customWidth="1"/>
    <col min="15" max="15" width="16" style="11" customWidth="1"/>
    <col min="16" max="27" width="18" style="10" customWidth="1"/>
    <col min="28" max="28" width="19.4285714285714" style="11" customWidth="1"/>
    <col min="29" max="40" width="15.1428571428571" style="10" customWidth="1"/>
    <col min="41" max="41" width="16" style="11" customWidth="1"/>
    <col min="42" max="16384" width="9.14285714285714" style="10"/>
  </cols>
  <sheetData>
    <row r="1" ht="19.5" customHeight="1" spans="1:26">
      <c r="A1" s="12" t="s">
        <v>0</v>
      </c>
      <c r="B1" s="13">
        <v>10</v>
      </c>
      <c r="C1" s="14"/>
      <c r="D1" s="14"/>
      <c r="E1" s="12" t="s">
        <v>1</v>
      </c>
      <c r="F1" s="12"/>
      <c r="G1" s="12"/>
      <c r="H1" s="15">
        <v>0.43</v>
      </c>
      <c r="I1" s="14"/>
      <c r="J1" s="16" t="s">
        <v>2</v>
      </c>
      <c r="K1" s="17"/>
      <c r="L1" s="18"/>
      <c r="M1" s="15">
        <v>0.2</v>
      </c>
      <c r="N1" s="14"/>
      <c r="O1" s="41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ht="19.5" customHeight="1" spans="1:26">
      <c r="A2" s="12" t="s">
        <v>67</v>
      </c>
      <c r="B2" s="13">
        <v>1334000</v>
      </c>
      <c r="C2" s="14"/>
      <c r="D2" s="14"/>
      <c r="E2" s="12" t="s">
        <v>4</v>
      </c>
      <c r="F2" s="12"/>
      <c r="G2" s="12"/>
      <c r="H2" s="15">
        <v>0.2</v>
      </c>
      <c r="I2" s="14"/>
      <c r="J2" s="16" t="s">
        <v>5</v>
      </c>
      <c r="K2" s="17"/>
      <c r="L2" s="18"/>
      <c r="M2" s="15">
        <v>0.1</v>
      </c>
      <c r="N2" s="14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ht="19.5" customHeight="1" spans="1:26">
      <c r="A3" s="12" t="s">
        <v>68</v>
      </c>
      <c r="B3" s="13">
        <v>800000</v>
      </c>
      <c r="C3" s="14"/>
      <c r="E3" s="16" t="s">
        <v>7</v>
      </c>
      <c r="F3" s="17"/>
      <c r="G3" s="18"/>
      <c r="H3" s="15">
        <v>0.025</v>
      </c>
      <c r="I3" s="14"/>
      <c r="J3" s="16" t="s">
        <v>69</v>
      </c>
      <c r="K3" s="17"/>
      <c r="L3" s="18"/>
      <c r="M3" s="43">
        <f>SUM(СводныйМск!C55:AN55)+SUM(СводныйМск!AC55:AN55)/(M1-M2)</f>
        <v>14546539484.7972</v>
      </c>
      <c r="N3" s="14"/>
      <c r="O3" s="41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ht="19.5" customHeight="1" spans="1:26">
      <c r="A4" s="12" t="s">
        <v>70</v>
      </c>
      <c r="B4" s="13">
        <v>1000000</v>
      </c>
      <c r="C4" s="14"/>
      <c r="D4" s="14"/>
      <c r="E4" s="16" t="s">
        <v>10</v>
      </c>
      <c r="F4" s="17"/>
      <c r="G4" s="18"/>
      <c r="H4" s="15">
        <v>0.01</v>
      </c>
      <c r="I4" s="14"/>
      <c r="J4" s="16" t="s">
        <v>11</v>
      </c>
      <c r="K4" s="17"/>
      <c r="L4" s="18"/>
      <c r="M4" s="44">
        <f>(O54+AB54+AO54)/(AO13+AB13+O13)</f>
        <v>0.579707100106742</v>
      </c>
      <c r="N4" s="14"/>
      <c r="O4" s="41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ht="19.5" customHeight="1" spans="1:26">
      <c r="A5" s="12" t="s">
        <v>6</v>
      </c>
      <c r="B5" s="19">
        <v>0.05</v>
      </c>
      <c r="C5" s="20"/>
      <c r="D5" s="20"/>
      <c r="E5" s="16" t="s">
        <v>13</v>
      </c>
      <c r="F5" s="17"/>
      <c r="G5" s="18"/>
      <c r="H5" s="15">
        <v>0.005</v>
      </c>
      <c r="I5" s="14"/>
      <c r="J5" s="16" t="s">
        <v>71</v>
      </c>
      <c r="K5" s="17"/>
      <c r="L5" s="18"/>
      <c r="M5" s="43">
        <f>SUM(СводныйМск!C55:AN55)</f>
        <v>2553476401.47709</v>
      </c>
      <c r="N5" s="14"/>
      <c r="O5" s="41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ht="19.5" customHeight="1" spans="1:26">
      <c r="A6" s="12" t="s">
        <v>9</v>
      </c>
      <c r="B6" s="19">
        <v>0.1</v>
      </c>
      <c r="C6" s="14"/>
      <c r="D6" s="14"/>
      <c r="E6" s="16" t="s">
        <v>16</v>
      </c>
      <c r="F6" s="17"/>
      <c r="G6" s="18"/>
      <c r="H6" s="15">
        <v>0.01</v>
      </c>
      <c r="I6" s="14"/>
      <c r="J6" s="16" t="s">
        <v>72</v>
      </c>
      <c r="K6" s="17"/>
      <c r="L6" s="18"/>
      <c r="M6" s="45">
        <f>(E54+F54+G54+H54+I54+J54+K54+L54+M54+N54+AB54+AO54)/-SUM(C54:D54)</f>
        <v>38.6605013362267</v>
      </c>
      <c r="N6" s="14"/>
      <c r="O6" s="41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ht="19.5" customHeight="1" spans="1:26">
      <c r="A7" s="12" t="s">
        <v>73</v>
      </c>
      <c r="B7" s="13">
        <v>500000</v>
      </c>
      <c r="C7" s="14"/>
      <c r="D7" s="14"/>
      <c r="E7" s="12" t="s">
        <v>19</v>
      </c>
      <c r="F7" s="12"/>
      <c r="G7" s="12"/>
      <c r="H7" s="15">
        <v>0.005</v>
      </c>
      <c r="I7" s="14"/>
      <c r="J7" s="16" t="s">
        <v>74</v>
      </c>
      <c r="K7" s="17"/>
      <c r="L7" s="18"/>
      <c r="M7" s="45">
        <v>7</v>
      </c>
      <c r="N7" s="14"/>
      <c r="O7" s="41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ht="19.5" customHeight="1" spans="1:26">
      <c r="A8" s="12" t="s">
        <v>15</v>
      </c>
      <c r="B8" s="21">
        <v>1</v>
      </c>
      <c r="C8" s="14"/>
      <c r="D8" s="14"/>
      <c r="E8" s="12" t="s">
        <v>75</v>
      </c>
      <c r="F8" s="12"/>
      <c r="G8" s="12"/>
      <c r="H8" s="13">
        <v>3</v>
      </c>
      <c r="I8" s="14"/>
      <c r="J8" s="14"/>
      <c r="K8" s="14"/>
      <c r="L8" s="14"/>
      <c r="M8" s="14"/>
      <c r="N8" s="14"/>
      <c r="O8" s="41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ht="19.5" customHeight="1" spans="1:26">
      <c r="A9" s="12" t="s">
        <v>18</v>
      </c>
      <c r="B9" s="21">
        <v>0.1</v>
      </c>
      <c r="C9" s="14"/>
      <c r="D9" s="14"/>
      <c r="E9" s="12" t="s">
        <v>21</v>
      </c>
      <c r="F9" s="12"/>
      <c r="G9" s="12"/>
      <c r="H9" s="13">
        <v>12</v>
      </c>
      <c r="I9" s="14"/>
      <c r="J9" s="14"/>
      <c r="K9" s="14"/>
      <c r="L9" s="14"/>
      <c r="M9" s="14"/>
      <c r="N9" s="14"/>
      <c r="O9" s="41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ht="19.5" customHeight="1" spans="1:26">
      <c r="A10" s="14"/>
      <c r="B10" s="14"/>
      <c r="C10" s="14"/>
      <c r="D10" s="22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41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41">
      <c r="A11" s="23" t="s">
        <v>22</v>
      </c>
      <c r="B11" s="24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46" t="s">
        <v>23</v>
      </c>
      <c r="P11" s="25">
        <v>13</v>
      </c>
      <c r="Q11" s="25">
        <v>14</v>
      </c>
      <c r="R11" s="25">
        <v>15</v>
      </c>
      <c r="S11" s="25">
        <v>16</v>
      </c>
      <c r="T11" s="25">
        <v>17</v>
      </c>
      <c r="U11" s="25">
        <v>18</v>
      </c>
      <c r="V11" s="25">
        <v>19</v>
      </c>
      <c r="W11" s="25">
        <v>20</v>
      </c>
      <c r="X11" s="25">
        <v>21</v>
      </c>
      <c r="Y11" s="25">
        <v>22</v>
      </c>
      <c r="Z11" s="25">
        <v>23</v>
      </c>
      <c r="AA11" s="25">
        <v>24</v>
      </c>
      <c r="AB11" s="46" t="s">
        <v>23</v>
      </c>
      <c r="AC11" s="25">
        <f>AA11+1</f>
        <v>25</v>
      </c>
      <c r="AD11" s="25">
        <f>AC11+1</f>
        <v>26</v>
      </c>
      <c r="AE11" s="25">
        <f t="shared" ref="AE11:AN11" si="0">AD11+1</f>
        <v>27</v>
      </c>
      <c r="AF11" s="25">
        <f t="shared" si="0"/>
        <v>28</v>
      </c>
      <c r="AG11" s="25">
        <f t="shared" si="0"/>
        <v>29</v>
      </c>
      <c r="AH11" s="25">
        <f t="shared" si="0"/>
        <v>30</v>
      </c>
      <c r="AI11" s="25">
        <f t="shared" si="0"/>
        <v>31</v>
      </c>
      <c r="AJ11" s="25">
        <f t="shared" si="0"/>
        <v>32</v>
      </c>
      <c r="AK11" s="25">
        <f t="shared" si="0"/>
        <v>33</v>
      </c>
      <c r="AL11" s="25">
        <f t="shared" si="0"/>
        <v>34</v>
      </c>
      <c r="AM11" s="25">
        <f t="shared" si="0"/>
        <v>35</v>
      </c>
      <c r="AN11" s="43">
        <f t="shared" si="0"/>
        <v>36</v>
      </c>
      <c r="AO11" s="46" t="s">
        <v>23</v>
      </c>
    </row>
    <row r="12" spans="1:41">
      <c r="A12" s="26" t="s">
        <v>76</v>
      </c>
      <c r="B12" s="24"/>
      <c r="C12" s="25">
        <v>10</v>
      </c>
      <c r="D12" s="25">
        <v>15</v>
      </c>
      <c r="E12" s="25">
        <v>20</v>
      </c>
      <c r="F12" s="25">
        <v>25</v>
      </c>
      <c r="G12" s="25">
        <v>30</v>
      </c>
      <c r="H12" s="25">
        <v>35</v>
      </c>
      <c r="I12" s="25">
        <v>40</v>
      </c>
      <c r="J12" s="25">
        <v>45</v>
      </c>
      <c r="K12" s="25">
        <v>50</v>
      </c>
      <c r="L12" s="25">
        <v>55</v>
      </c>
      <c r="M12" s="25">
        <v>60</v>
      </c>
      <c r="N12" s="25">
        <v>60</v>
      </c>
      <c r="O12" s="46">
        <f>N12</f>
        <v>60</v>
      </c>
      <c r="P12" s="25">
        <f>N12</f>
        <v>60</v>
      </c>
      <c r="Q12" s="25">
        <f>P12</f>
        <v>60</v>
      </c>
      <c r="R12" s="25">
        <f t="shared" ref="R12:AB12" si="1">Q12</f>
        <v>60</v>
      </c>
      <c r="S12" s="25">
        <f t="shared" si="1"/>
        <v>60</v>
      </c>
      <c r="T12" s="25">
        <f t="shared" si="1"/>
        <v>60</v>
      </c>
      <c r="U12" s="25">
        <f t="shared" si="1"/>
        <v>60</v>
      </c>
      <c r="V12" s="25">
        <f t="shared" si="1"/>
        <v>60</v>
      </c>
      <c r="W12" s="25">
        <f t="shared" si="1"/>
        <v>60</v>
      </c>
      <c r="X12" s="25">
        <f t="shared" si="1"/>
        <v>60</v>
      </c>
      <c r="Y12" s="25">
        <f t="shared" si="1"/>
        <v>60</v>
      </c>
      <c r="Z12" s="25">
        <f t="shared" si="1"/>
        <v>60</v>
      </c>
      <c r="AA12" s="25">
        <f t="shared" si="1"/>
        <v>60</v>
      </c>
      <c r="AB12" s="46">
        <f t="shared" si="1"/>
        <v>60</v>
      </c>
      <c r="AC12" s="25">
        <f>AA12</f>
        <v>60</v>
      </c>
      <c r="AD12" s="25">
        <f>AC12</f>
        <v>60</v>
      </c>
      <c r="AE12" s="25">
        <f t="shared" ref="AE12:AO12" si="2">AD12</f>
        <v>60</v>
      </c>
      <c r="AF12" s="25">
        <f t="shared" si="2"/>
        <v>60</v>
      </c>
      <c r="AG12" s="25">
        <f t="shared" si="2"/>
        <v>60</v>
      </c>
      <c r="AH12" s="25">
        <f t="shared" si="2"/>
        <v>60</v>
      </c>
      <c r="AI12" s="25">
        <f t="shared" si="2"/>
        <v>60</v>
      </c>
      <c r="AJ12" s="25">
        <f t="shared" si="2"/>
        <v>60</v>
      </c>
      <c r="AK12" s="25">
        <f t="shared" si="2"/>
        <v>60</v>
      </c>
      <c r="AL12" s="25">
        <f t="shared" si="2"/>
        <v>60</v>
      </c>
      <c r="AM12" s="25">
        <f t="shared" si="2"/>
        <v>60</v>
      </c>
      <c r="AN12" s="25">
        <f t="shared" si="2"/>
        <v>60</v>
      </c>
      <c r="AO12" s="46">
        <f t="shared" si="2"/>
        <v>60</v>
      </c>
    </row>
    <row r="13" s="7" customFormat="1" spans="1:41">
      <c r="A13" s="27" t="s">
        <v>26</v>
      </c>
      <c r="B13" s="27"/>
      <c r="C13" s="28">
        <f t="shared" ref="C13:N13" si="3">SUM(C14:C17)</f>
        <v>9450000</v>
      </c>
      <c r="D13" s="28">
        <f t="shared" si="3"/>
        <v>12600000</v>
      </c>
      <c r="E13" s="28">
        <f t="shared" si="3"/>
        <v>16800000</v>
      </c>
      <c r="F13" s="28">
        <f t="shared" si="3"/>
        <v>42000000</v>
      </c>
      <c r="G13" s="28">
        <f t="shared" si="3"/>
        <v>50400000</v>
      </c>
      <c r="H13" s="28">
        <f t="shared" si="3"/>
        <v>58800000</v>
      </c>
      <c r="I13" s="28">
        <f t="shared" si="3"/>
        <v>67200000</v>
      </c>
      <c r="J13" s="28">
        <f t="shared" si="3"/>
        <v>75600000</v>
      </c>
      <c r="K13" s="28">
        <f t="shared" si="3"/>
        <v>84000000</v>
      </c>
      <c r="L13" s="28">
        <f t="shared" si="3"/>
        <v>92400000</v>
      </c>
      <c r="M13" s="28">
        <f t="shared" si="3"/>
        <v>100800000</v>
      </c>
      <c r="N13" s="28">
        <f t="shared" si="3"/>
        <v>100800000</v>
      </c>
      <c r="O13" s="46">
        <f>SUM(C13:N13)</f>
        <v>710850000</v>
      </c>
      <c r="P13" s="28">
        <f t="shared" ref="P13:AA13" si="4">SUM(P14:P17)</f>
        <v>231046200</v>
      </c>
      <c r="Q13" s="28">
        <f t="shared" si="4"/>
        <v>231046200</v>
      </c>
      <c r="R13" s="28">
        <f t="shared" si="4"/>
        <v>231046200</v>
      </c>
      <c r="S13" s="28">
        <f t="shared" si="4"/>
        <v>231046200</v>
      </c>
      <c r="T13" s="28">
        <f t="shared" si="4"/>
        <v>231046200</v>
      </c>
      <c r="U13" s="28">
        <f t="shared" si="4"/>
        <v>231046200</v>
      </c>
      <c r="V13" s="28">
        <f t="shared" si="4"/>
        <v>231046200</v>
      </c>
      <c r="W13" s="28">
        <f t="shared" si="4"/>
        <v>231046200</v>
      </c>
      <c r="X13" s="28">
        <f t="shared" si="4"/>
        <v>231046200</v>
      </c>
      <c r="Y13" s="28">
        <f t="shared" si="4"/>
        <v>231046200</v>
      </c>
      <c r="Z13" s="28">
        <f t="shared" si="4"/>
        <v>231046200</v>
      </c>
      <c r="AA13" s="28">
        <f t="shared" si="4"/>
        <v>231046200</v>
      </c>
      <c r="AB13" s="46">
        <f>SUM(P13:AA13)</f>
        <v>2772554400</v>
      </c>
      <c r="AC13" s="28">
        <f t="shared" ref="AC13:AN13" si="5">SUM(AC14:AC17)</f>
        <v>252050400</v>
      </c>
      <c r="AD13" s="28">
        <f t="shared" si="5"/>
        <v>252050400</v>
      </c>
      <c r="AE13" s="28">
        <f t="shared" si="5"/>
        <v>252050400</v>
      </c>
      <c r="AF13" s="28">
        <f t="shared" si="5"/>
        <v>252050400</v>
      </c>
      <c r="AG13" s="28">
        <f t="shared" si="5"/>
        <v>252050400</v>
      </c>
      <c r="AH13" s="28">
        <f t="shared" si="5"/>
        <v>252050400</v>
      </c>
      <c r="AI13" s="28">
        <f t="shared" si="5"/>
        <v>252050400</v>
      </c>
      <c r="AJ13" s="28">
        <f t="shared" si="5"/>
        <v>252050400</v>
      </c>
      <c r="AK13" s="28">
        <f t="shared" si="5"/>
        <v>252050400</v>
      </c>
      <c r="AL13" s="28">
        <f t="shared" si="5"/>
        <v>252050400</v>
      </c>
      <c r="AM13" s="28">
        <f t="shared" si="5"/>
        <v>252050400</v>
      </c>
      <c r="AN13" s="28">
        <f t="shared" si="5"/>
        <v>252050400</v>
      </c>
      <c r="AO13" s="46">
        <f>SUM(AC13:AN13)</f>
        <v>3024604800</v>
      </c>
    </row>
    <row r="14" s="7" customFormat="1" spans="1:41">
      <c r="A14" s="29" t="s">
        <v>77</v>
      </c>
      <c r="B14" s="24"/>
      <c r="C14" s="30">
        <f>IF(C16=0,C12*$B3,C12*$B4)*$B8</f>
        <v>8000000</v>
      </c>
      <c r="D14" s="30">
        <f>IF(D16=0,D12*$B3,D12*$B4)*$B8</f>
        <v>12000000</v>
      </c>
      <c r="E14" s="30">
        <f>IF(E16=0,E12*$B3,E12*$B4)*$B8</f>
        <v>16000000</v>
      </c>
      <c r="F14" s="30">
        <f>IF(F16=0,F12*$B3,F12*$B4)*$B8</f>
        <v>20000000</v>
      </c>
      <c r="G14" s="30">
        <f>IF(G16=0,G12*$B3,G12*$B4)*$B8</f>
        <v>24000000</v>
      </c>
      <c r="H14" s="30">
        <f t="shared" ref="H14:N14" si="6">IF(H16=0,H12*$B3,H12*$B4)*$B8</f>
        <v>28000000</v>
      </c>
      <c r="I14" s="30">
        <f t="shared" si="6"/>
        <v>32000000</v>
      </c>
      <c r="J14" s="30">
        <f t="shared" si="6"/>
        <v>36000000</v>
      </c>
      <c r="K14" s="30">
        <f t="shared" si="6"/>
        <v>40000000</v>
      </c>
      <c r="L14" s="30">
        <f t="shared" si="6"/>
        <v>44000000</v>
      </c>
      <c r="M14" s="30">
        <f t="shared" si="6"/>
        <v>48000000</v>
      </c>
      <c r="N14" s="30">
        <f t="shared" si="6"/>
        <v>48000000</v>
      </c>
      <c r="O14" s="46">
        <f t="shared" ref="O14:O54" si="7">SUM(C14:N14)</f>
        <v>356000000</v>
      </c>
      <c r="P14" s="30">
        <f>IF(P16=0,P12*$B3*(1+$B6),P12*$B4*(1+$B6))*$B8</f>
        <v>66000000</v>
      </c>
      <c r="Q14" s="30">
        <f t="shared" ref="Q14:AA14" si="8">IF(Q16=0,Q12*$B3*(1+$B6),Q12*$B4*(1+$B6))*$B8</f>
        <v>66000000</v>
      </c>
      <c r="R14" s="30">
        <f t="shared" si="8"/>
        <v>66000000</v>
      </c>
      <c r="S14" s="30">
        <f t="shared" si="8"/>
        <v>66000000</v>
      </c>
      <c r="T14" s="30">
        <f t="shared" si="8"/>
        <v>66000000</v>
      </c>
      <c r="U14" s="30">
        <f t="shared" si="8"/>
        <v>66000000</v>
      </c>
      <c r="V14" s="30">
        <f t="shared" si="8"/>
        <v>66000000</v>
      </c>
      <c r="W14" s="30">
        <f t="shared" si="8"/>
        <v>66000000</v>
      </c>
      <c r="X14" s="30">
        <f t="shared" si="8"/>
        <v>66000000</v>
      </c>
      <c r="Y14" s="30">
        <f t="shared" si="8"/>
        <v>66000000</v>
      </c>
      <c r="Z14" s="30">
        <f t="shared" si="8"/>
        <v>66000000</v>
      </c>
      <c r="AA14" s="30">
        <f t="shared" si="8"/>
        <v>66000000</v>
      </c>
      <c r="AB14" s="46">
        <f t="shared" ref="AB14:AB54" si="9">SUM(P14:AA14)</f>
        <v>792000000</v>
      </c>
      <c r="AC14" s="30">
        <f>IF(AC16=0,AC12*$B3*(1+$B6*2),AC12*$B4*(1+$B6*2))*$B8</f>
        <v>72000000</v>
      </c>
      <c r="AD14" s="30">
        <f t="shared" ref="AD14:AN14" si="10">IF(AD16=0,AD12*$B3*(1+$B6*2),AD12*$B4*(1+$B6*2))*$B8</f>
        <v>72000000</v>
      </c>
      <c r="AE14" s="30">
        <f t="shared" si="10"/>
        <v>72000000</v>
      </c>
      <c r="AF14" s="30">
        <f t="shared" si="10"/>
        <v>72000000</v>
      </c>
      <c r="AG14" s="30">
        <f t="shared" si="10"/>
        <v>72000000</v>
      </c>
      <c r="AH14" s="30">
        <f t="shared" si="10"/>
        <v>72000000</v>
      </c>
      <c r="AI14" s="30">
        <f t="shared" si="10"/>
        <v>72000000</v>
      </c>
      <c r="AJ14" s="30">
        <f t="shared" si="10"/>
        <v>72000000</v>
      </c>
      <c r="AK14" s="30">
        <f t="shared" si="10"/>
        <v>72000000</v>
      </c>
      <c r="AL14" s="30">
        <f t="shared" si="10"/>
        <v>72000000</v>
      </c>
      <c r="AM14" s="30">
        <f t="shared" si="10"/>
        <v>72000000</v>
      </c>
      <c r="AN14" s="30">
        <f t="shared" si="10"/>
        <v>72000000</v>
      </c>
      <c r="AO14" s="46">
        <f t="shared" ref="AO14:AO54" si="11">SUM(AC14:AN14)</f>
        <v>864000000</v>
      </c>
    </row>
    <row r="15" s="7" customFormat="1" spans="1:41">
      <c r="A15" s="29" t="s">
        <v>78</v>
      </c>
      <c r="B15" s="24"/>
      <c r="C15" s="30">
        <v>1000000</v>
      </c>
      <c r="D15" s="30">
        <f>IF(D51=0,D14,0)</f>
        <v>0</v>
      </c>
      <c r="E15" s="30">
        <f>IF(E51=0,E14,0)</f>
        <v>0</v>
      </c>
      <c r="F15" s="30">
        <f>IF(F51=0,F14,0)</f>
        <v>20000000</v>
      </c>
      <c r="G15" s="30">
        <f>IF(G51=0,G14,0)</f>
        <v>24000000</v>
      </c>
      <c r="H15" s="30">
        <f t="shared" ref="H15:N15" si="12">IF(H51=0,H14,0)</f>
        <v>28000000</v>
      </c>
      <c r="I15" s="30">
        <f t="shared" si="12"/>
        <v>32000000</v>
      </c>
      <c r="J15" s="30">
        <f t="shared" si="12"/>
        <v>36000000</v>
      </c>
      <c r="K15" s="30">
        <f t="shared" si="12"/>
        <v>40000000</v>
      </c>
      <c r="L15" s="30">
        <f t="shared" si="12"/>
        <v>44000000</v>
      </c>
      <c r="M15" s="30">
        <f t="shared" si="12"/>
        <v>48000000</v>
      </c>
      <c r="N15" s="30">
        <f t="shared" si="12"/>
        <v>48000000</v>
      </c>
      <c r="O15" s="46">
        <f t="shared" ref="O15:O16" si="13">SUM(C15:N15)</f>
        <v>321000000</v>
      </c>
      <c r="P15" s="30">
        <f t="shared" ref="P15" si="14">IF(P51=0,P14,0)</f>
        <v>66000000</v>
      </c>
      <c r="Q15" s="30">
        <f t="shared" ref="Q15" si="15">IF(Q51=0,Q14,0)</f>
        <v>66000000</v>
      </c>
      <c r="R15" s="30">
        <f t="shared" ref="R15" si="16">IF(R51=0,R14,0)</f>
        <v>66000000</v>
      </c>
      <c r="S15" s="30">
        <f t="shared" ref="S15" si="17">IF(S51=0,S14,0)</f>
        <v>66000000</v>
      </c>
      <c r="T15" s="30">
        <f t="shared" ref="T15" si="18">IF(T51=0,T14,0)</f>
        <v>66000000</v>
      </c>
      <c r="U15" s="30">
        <f t="shared" ref="U15" si="19">IF(U51=0,U14,0)</f>
        <v>66000000</v>
      </c>
      <c r="V15" s="30">
        <f t="shared" ref="V15" si="20">IF(V51=0,V14,0)</f>
        <v>66000000</v>
      </c>
      <c r="W15" s="30">
        <f t="shared" ref="W15" si="21">IF(W51=0,W14,0)</f>
        <v>66000000</v>
      </c>
      <c r="X15" s="30">
        <f t="shared" ref="X15" si="22">IF(X51=0,X14,0)</f>
        <v>66000000</v>
      </c>
      <c r="Y15" s="30">
        <f t="shared" ref="Y15" si="23">IF(Y51=0,Y14,0)</f>
        <v>66000000</v>
      </c>
      <c r="Z15" s="30">
        <f t="shared" ref="Z15" si="24">IF(Z51=0,Z14,0)</f>
        <v>66000000</v>
      </c>
      <c r="AA15" s="30">
        <f t="shared" ref="AA15" si="25">IF(AA51=0,AA14,0)</f>
        <v>66000000</v>
      </c>
      <c r="AB15" s="46">
        <f t="shared" ref="AB15:AB16" si="26">SUM(P15:AA15)</f>
        <v>792000000</v>
      </c>
      <c r="AC15" s="30">
        <f t="shared" ref="AC15" si="27">IF(AC51=0,AC14,0)</f>
        <v>72000000</v>
      </c>
      <c r="AD15" s="30">
        <f t="shared" ref="AD15" si="28">IF(AD51=0,AD14,0)</f>
        <v>72000000</v>
      </c>
      <c r="AE15" s="30">
        <f t="shared" ref="AE15" si="29">IF(AE51=0,AE14,0)</f>
        <v>72000000</v>
      </c>
      <c r="AF15" s="30">
        <f t="shared" ref="AF15" si="30">IF(AF51=0,AF14,0)</f>
        <v>72000000</v>
      </c>
      <c r="AG15" s="30">
        <f t="shared" ref="AG15" si="31">IF(AG51=0,AG14,0)</f>
        <v>72000000</v>
      </c>
      <c r="AH15" s="30">
        <f t="shared" ref="AH15" si="32">IF(AH51=0,AH14,0)</f>
        <v>72000000</v>
      </c>
      <c r="AI15" s="30">
        <f t="shared" ref="AI15" si="33">IF(AI51=0,AI14,0)</f>
        <v>72000000</v>
      </c>
      <c r="AJ15" s="30">
        <f t="shared" ref="AJ15" si="34">IF(AJ51=0,AJ14,0)</f>
        <v>72000000</v>
      </c>
      <c r="AK15" s="30">
        <f t="shared" ref="AK15" si="35">IF(AK51=0,AK14,0)</f>
        <v>72000000</v>
      </c>
      <c r="AL15" s="30">
        <f t="shared" ref="AL15" si="36">IF(AL51=0,AL14,0)</f>
        <v>72000000</v>
      </c>
      <c r="AM15" s="30">
        <f t="shared" ref="AM15" si="37">IF(AM51=0,AM14,0)</f>
        <v>72000000</v>
      </c>
      <c r="AN15" s="30">
        <f t="shared" ref="AN15" si="38">IF(AN51=0,AN14,0)</f>
        <v>72000000</v>
      </c>
      <c r="AO15" s="46">
        <f t="shared" ref="AO15:AO16" si="39">SUM(AC15:AN15)</f>
        <v>864000000</v>
      </c>
    </row>
    <row r="16" s="7" customFormat="1" spans="1:41">
      <c r="A16" s="29" t="s">
        <v>79</v>
      </c>
      <c r="B16" s="24"/>
      <c r="C16" s="30">
        <f>IF(C52=0,C12*$B2,0)*$B8</f>
        <v>0</v>
      </c>
      <c r="D16" s="30">
        <f>IF(D52=0,D12*$B2,0)*$B8</f>
        <v>0</v>
      </c>
      <c r="E16" s="30">
        <f>IF(E52=0,E12*$B2,0)*$B8</f>
        <v>0</v>
      </c>
      <c r="F16" s="30">
        <f>IF(F52=0,F12*$B2,0)*$B8</f>
        <v>0</v>
      </c>
      <c r="G16" s="30">
        <f>IF(G52=0,G12*$B2,0)*$B8</f>
        <v>0</v>
      </c>
      <c r="H16" s="30">
        <f t="shared" ref="H16:N16" si="40">IF(H52=0,H12*$B2,0)*$B8</f>
        <v>0</v>
      </c>
      <c r="I16" s="30">
        <f t="shared" si="40"/>
        <v>0</v>
      </c>
      <c r="J16" s="30">
        <f t="shared" si="40"/>
        <v>0</v>
      </c>
      <c r="K16" s="30">
        <f t="shared" si="40"/>
        <v>0</v>
      </c>
      <c r="L16" s="30">
        <f t="shared" si="40"/>
        <v>0</v>
      </c>
      <c r="M16" s="30">
        <f t="shared" si="40"/>
        <v>0</v>
      </c>
      <c r="N16" s="30">
        <f t="shared" si="40"/>
        <v>0</v>
      </c>
      <c r="O16" s="46">
        <f t="shared" si="13"/>
        <v>0</v>
      </c>
      <c r="P16" s="30">
        <f>IF(P52=0,P12*$B2*(1+$B6),0)*$B8</f>
        <v>88044000</v>
      </c>
      <c r="Q16" s="30">
        <f t="shared" ref="Q16:AA16" si="41">IF(Q52=0,Q12*$B2*(1+$B6),0)*$B8</f>
        <v>88044000</v>
      </c>
      <c r="R16" s="30">
        <f t="shared" si="41"/>
        <v>88044000</v>
      </c>
      <c r="S16" s="30">
        <f t="shared" si="41"/>
        <v>88044000</v>
      </c>
      <c r="T16" s="30">
        <f t="shared" si="41"/>
        <v>88044000</v>
      </c>
      <c r="U16" s="30">
        <f t="shared" si="41"/>
        <v>88044000</v>
      </c>
      <c r="V16" s="30">
        <f t="shared" si="41"/>
        <v>88044000</v>
      </c>
      <c r="W16" s="30">
        <f t="shared" si="41"/>
        <v>88044000</v>
      </c>
      <c r="X16" s="30">
        <f t="shared" si="41"/>
        <v>88044000</v>
      </c>
      <c r="Y16" s="30">
        <f t="shared" si="41"/>
        <v>88044000</v>
      </c>
      <c r="Z16" s="30">
        <f t="shared" si="41"/>
        <v>88044000</v>
      </c>
      <c r="AA16" s="30">
        <f t="shared" si="41"/>
        <v>88044000</v>
      </c>
      <c r="AB16" s="46">
        <f t="shared" si="26"/>
        <v>1056528000</v>
      </c>
      <c r="AC16" s="30">
        <f>IF(AC52=0,AC12*$B2*(1+$B6*2),0)*$B8</f>
        <v>96048000</v>
      </c>
      <c r="AD16" s="30">
        <f t="shared" ref="AD16:AN16" si="42">IF(AD52=0,AD12*$B2*(1+$B6*2),0)*$B8</f>
        <v>96048000</v>
      </c>
      <c r="AE16" s="30">
        <f t="shared" si="42"/>
        <v>96048000</v>
      </c>
      <c r="AF16" s="30">
        <f t="shared" si="42"/>
        <v>96048000</v>
      </c>
      <c r="AG16" s="30">
        <f t="shared" si="42"/>
        <v>96048000</v>
      </c>
      <c r="AH16" s="30">
        <f t="shared" si="42"/>
        <v>96048000</v>
      </c>
      <c r="AI16" s="30">
        <f t="shared" si="42"/>
        <v>96048000</v>
      </c>
      <c r="AJ16" s="30">
        <f t="shared" si="42"/>
        <v>96048000</v>
      </c>
      <c r="AK16" s="30">
        <f t="shared" si="42"/>
        <v>96048000</v>
      </c>
      <c r="AL16" s="30">
        <f t="shared" si="42"/>
        <v>96048000</v>
      </c>
      <c r="AM16" s="30">
        <f t="shared" si="42"/>
        <v>96048000</v>
      </c>
      <c r="AN16" s="30">
        <f t="shared" si="42"/>
        <v>96048000</v>
      </c>
      <c r="AO16" s="46">
        <f t="shared" si="39"/>
        <v>1152576000</v>
      </c>
    </row>
    <row r="17" s="7" customFormat="1" spans="1:41">
      <c r="A17" s="29" t="s">
        <v>30</v>
      </c>
      <c r="B17" s="24"/>
      <c r="C17" s="30">
        <f t="shared" ref="C17:N17" si="43">(C14+C15+C16)*$B5</f>
        <v>450000</v>
      </c>
      <c r="D17" s="30">
        <f t="shared" si="43"/>
        <v>600000</v>
      </c>
      <c r="E17" s="30">
        <f t="shared" si="43"/>
        <v>800000</v>
      </c>
      <c r="F17" s="30">
        <f t="shared" si="43"/>
        <v>2000000</v>
      </c>
      <c r="G17" s="30">
        <f t="shared" si="43"/>
        <v>2400000</v>
      </c>
      <c r="H17" s="30">
        <f t="shared" si="43"/>
        <v>2800000</v>
      </c>
      <c r="I17" s="30">
        <f t="shared" si="43"/>
        <v>3200000</v>
      </c>
      <c r="J17" s="30">
        <f t="shared" si="43"/>
        <v>3600000</v>
      </c>
      <c r="K17" s="30">
        <f t="shared" si="43"/>
        <v>4000000</v>
      </c>
      <c r="L17" s="30">
        <f t="shared" si="43"/>
        <v>4400000</v>
      </c>
      <c r="M17" s="30">
        <f t="shared" si="43"/>
        <v>4800000</v>
      </c>
      <c r="N17" s="30">
        <f t="shared" si="43"/>
        <v>4800000</v>
      </c>
      <c r="O17" s="46">
        <f t="shared" si="7"/>
        <v>33850000</v>
      </c>
      <c r="P17" s="30">
        <f t="shared" ref="P17:AA17" si="44">(P14+P15+P16)*$B5</f>
        <v>11002200</v>
      </c>
      <c r="Q17" s="30">
        <f t="shared" si="44"/>
        <v>11002200</v>
      </c>
      <c r="R17" s="30">
        <f t="shared" si="44"/>
        <v>11002200</v>
      </c>
      <c r="S17" s="30">
        <f t="shared" si="44"/>
        <v>11002200</v>
      </c>
      <c r="T17" s="30">
        <f t="shared" si="44"/>
        <v>11002200</v>
      </c>
      <c r="U17" s="30">
        <f t="shared" si="44"/>
        <v>11002200</v>
      </c>
      <c r="V17" s="30">
        <f t="shared" si="44"/>
        <v>11002200</v>
      </c>
      <c r="W17" s="30">
        <f t="shared" si="44"/>
        <v>11002200</v>
      </c>
      <c r="X17" s="30">
        <f t="shared" si="44"/>
        <v>11002200</v>
      </c>
      <c r="Y17" s="30">
        <f t="shared" si="44"/>
        <v>11002200</v>
      </c>
      <c r="Z17" s="30">
        <f t="shared" si="44"/>
        <v>11002200</v>
      </c>
      <c r="AA17" s="30">
        <f t="shared" si="44"/>
        <v>11002200</v>
      </c>
      <c r="AB17" s="46">
        <f t="shared" si="9"/>
        <v>132026400</v>
      </c>
      <c r="AC17" s="30">
        <f t="shared" ref="AC17:AN17" si="45">(AC14+AC15+AC16)*$B5</f>
        <v>12002400</v>
      </c>
      <c r="AD17" s="30">
        <f t="shared" si="45"/>
        <v>12002400</v>
      </c>
      <c r="AE17" s="30">
        <f t="shared" si="45"/>
        <v>12002400</v>
      </c>
      <c r="AF17" s="30">
        <f t="shared" si="45"/>
        <v>12002400</v>
      </c>
      <c r="AG17" s="30">
        <f t="shared" si="45"/>
        <v>12002400</v>
      </c>
      <c r="AH17" s="30">
        <f t="shared" si="45"/>
        <v>12002400</v>
      </c>
      <c r="AI17" s="30">
        <f t="shared" si="45"/>
        <v>12002400</v>
      </c>
      <c r="AJ17" s="30">
        <f t="shared" si="45"/>
        <v>12002400</v>
      </c>
      <c r="AK17" s="30">
        <f t="shared" si="45"/>
        <v>12002400</v>
      </c>
      <c r="AL17" s="30">
        <f t="shared" si="45"/>
        <v>12002400</v>
      </c>
      <c r="AM17" s="30">
        <f t="shared" si="45"/>
        <v>12002400</v>
      </c>
      <c r="AN17" s="30">
        <f t="shared" si="45"/>
        <v>12002400</v>
      </c>
      <c r="AO17" s="46">
        <f t="shared" si="11"/>
        <v>144028800</v>
      </c>
    </row>
    <row r="18" spans="1:41">
      <c r="A18" s="27" t="s">
        <v>31</v>
      </c>
      <c r="B18" s="27"/>
      <c r="C18" s="31">
        <f t="shared" ref="C18:N18" si="46">SUM(C19:C21,C32:C35,C40:C45)</f>
        <v>7612500</v>
      </c>
      <c r="D18" s="31">
        <f t="shared" si="46"/>
        <v>6140000</v>
      </c>
      <c r="E18" s="31">
        <f t="shared" si="46"/>
        <v>6750000</v>
      </c>
      <c r="F18" s="31">
        <f t="shared" si="46"/>
        <v>12340000</v>
      </c>
      <c r="G18" s="31">
        <f t="shared" si="46"/>
        <v>13560000</v>
      </c>
      <c r="H18" s="31">
        <f t="shared" si="46"/>
        <v>14780000</v>
      </c>
      <c r="I18" s="31">
        <f t="shared" si="46"/>
        <v>16000000</v>
      </c>
      <c r="J18" s="31">
        <f t="shared" si="46"/>
        <v>17220000</v>
      </c>
      <c r="K18" s="31">
        <f t="shared" si="46"/>
        <v>18440000</v>
      </c>
      <c r="L18" s="31">
        <f t="shared" si="46"/>
        <v>19660000</v>
      </c>
      <c r="M18" s="31">
        <f t="shared" si="46"/>
        <v>20880000</v>
      </c>
      <c r="N18" s="31">
        <f t="shared" si="46"/>
        <v>20880000</v>
      </c>
      <c r="O18" s="46">
        <f t="shared" si="7"/>
        <v>174262500</v>
      </c>
      <c r="P18" s="31">
        <f t="shared" ref="P18:AA18" si="47">SUM(P19:P21,P32:P35,P40:P45)</f>
        <v>42538710</v>
      </c>
      <c r="Q18" s="31">
        <f t="shared" si="47"/>
        <v>42538710</v>
      </c>
      <c r="R18" s="31">
        <f t="shared" si="47"/>
        <v>42538710</v>
      </c>
      <c r="S18" s="31">
        <f t="shared" si="47"/>
        <v>42538710</v>
      </c>
      <c r="T18" s="31">
        <f t="shared" si="47"/>
        <v>42538710</v>
      </c>
      <c r="U18" s="31">
        <f t="shared" si="47"/>
        <v>42538710</v>
      </c>
      <c r="V18" s="31">
        <f t="shared" si="47"/>
        <v>42538710</v>
      </c>
      <c r="W18" s="31">
        <f t="shared" si="47"/>
        <v>42538710</v>
      </c>
      <c r="X18" s="31">
        <f t="shared" si="47"/>
        <v>42538710</v>
      </c>
      <c r="Y18" s="31">
        <f t="shared" si="47"/>
        <v>42538710</v>
      </c>
      <c r="Z18" s="31">
        <f t="shared" si="47"/>
        <v>42538710</v>
      </c>
      <c r="AA18" s="31">
        <f t="shared" si="47"/>
        <v>42538710</v>
      </c>
      <c r="AB18" s="46">
        <f t="shared" si="9"/>
        <v>510464520</v>
      </c>
      <c r="AC18" s="31">
        <f t="shared" ref="AC18:AN18" si="48">SUM(AC19:AC21,AC32:AC35,AC40:AC45)</f>
        <v>46369120</v>
      </c>
      <c r="AD18" s="31">
        <f t="shared" si="48"/>
        <v>46369120</v>
      </c>
      <c r="AE18" s="31">
        <f t="shared" si="48"/>
        <v>46369120</v>
      </c>
      <c r="AF18" s="31">
        <f t="shared" si="48"/>
        <v>46369120</v>
      </c>
      <c r="AG18" s="31">
        <f t="shared" si="48"/>
        <v>46369120</v>
      </c>
      <c r="AH18" s="31">
        <f t="shared" si="48"/>
        <v>46369120</v>
      </c>
      <c r="AI18" s="31">
        <f t="shared" si="48"/>
        <v>46369120</v>
      </c>
      <c r="AJ18" s="31">
        <f t="shared" si="48"/>
        <v>46369120</v>
      </c>
      <c r="AK18" s="31">
        <f t="shared" si="48"/>
        <v>46369120</v>
      </c>
      <c r="AL18" s="31">
        <f t="shared" si="48"/>
        <v>46369120</v>
      </c>
      <c r="AM18" s="31">
        <f t="shared" si="48"/>
        <v>46369120</v>
      </c>
      <c r="AN18" s="31">
        <f t="shared" si="48"/>
        <v>46369120</v>
      </c>
      <c r="AO18" s="46">
        <f t="shared" si="11"/>
        <v>556429440</v>
      </c>
    </row>
    <row r="19" spans="1:41">
      <c r="A19" s="32" t="s">
        <v>32</v>
      </c>
      <c r="B19" s="33"/>
      <c r="C19" s="30">
        <f t="shared" ref="C19:N19" si="49">$B7</f>
        <v>500000</v>
      </c>
      <c r="D19" s="30">
        <f t="shared" si="49"/>
        <v>500000</v>
      </c>
      <c r="E19" s="30">
        <f t="shared" si="49"/>
        <v>500000</v>
      </c>
      <c r="F19" s="30">
        <f t="shared" si="49"/>
        <v>500000</v>
      </c>
      <c r="G19" s="30">
        <f t="shared" si="49"/>
        <v>500000</v>
      </c>
      <c r="H19" s="30">
        <f t="shared" si="49"/>
        <v>500000</v>
      </c>
      <c r="I19" s="30">
        <f t="shared" si="49"/>
        <v>500000</v>
      </c>
      <c r="J19" s="30">
        <f t="shared" si="49"/>
        <v>500000</v>
      </c>
      <c r="K19" s="30">
        <f t="shared" si="49"/>
        <v>500000</v>
      </c>
      <c r="L19" s="30">
        <f t="shared" si="49"/>
        <v>500000</v>
      </c>
      <c r="M19" s="30">
        <f t="shared" si="49"/>
        <v>500000</v>
      </c>
      <c r="N19" s="30">
        <f t="shared" si="49"/>
        <v>500000</v>
      </c>
      <c r="O19" s="46">
        <f t="shared" si="7"/>
        <v>6000000</v>
      </c>
      <c r="P19" s="30">
        <f t="shared" ref="P19:AA19" si="50">C19*(1+$B6)</f>
        <v>550000</v>
      </c>
      <c r="Q19" s="30">
        <f t="shared" si="50"/>
        <v>550000</v>
      </c>
      <c r="R19" s="30">
        <f t="shared" si="50"/>
        <v>550000</v>
      </c>
      <c r="S19" s="30">
        <f t="shared" si="50"/>
        <v>550000</v>
      </c>
      <c r="T19" s="30">
        <f t="shared" si="50"/>
        <v>550000</v>
      </c>
      <c r="U19" s="30">
        <f t="shared" si="50"/>
        <v>550000</v>
      </c>
      <c r="V19" s="30">
        <f t="shared" si="50"/>
        <v>550000</v>
      </c>
      <c r="W19" s="30">
        <f t="shared" si="50"/>
        <v>550000</v>
      </c>
      <c r="X19" s="30">
        <f t="shared" si="50"/>
        <v>550000</v>
      </c>
      <c r="Y19" s="30">
        <f t="shared" si="50"/>
        <v>550000</v>
      </c>
      <c r="Z19" s="30">
        <f t="shared" si="50"/>
        <v>550000</v>
      </c>
      <c r="AA19" s="30">
        <f t="shared" si="50"/>
        <v>550000</v>
      </c>
      <c r="AB19" s="46">
        <f t="shared" si="9"/>
        <v>6600000</v>
      </c>
      <c r="AC19" s="30">
        <f t="shared" ref="AC19:AN19" si="51">P19*(1+$B6)</f>
        <v>605000</v>
      </c>
      <c r="AD19" s="30">
        <f t="shared" si="51"/>
        <v>605000</v>
      </c>
      <c r="AE19" s="30">
        <f t="shared" si="51"/>
        <v>605000</v>
      </c>
      <c r="AF19" s="30">
        <f t="shared" si="51"/>
        <v>605000</v>
      </c>
      <c r="AG19" s="30">
        <f t="shared" si="51"/>
        <v>605000</v>
      </c>
      <c r="AH19" s="30">
        <f t="shared" si="51"/>
        <v>605000</v>
      </c>
      <c r="AI19" s="30">
        <f t="shared" si="51"/>
        <v>605000</v>
      </c>
      <c r="AJ19" s="30">
        <f t="shared" si="51"/>
        <v>605000</v>
      </c>
      <c r="AK19" s="30">
        <f t="shared" si="51"/>
        <v>605000</v>
      </c>
      <c r="AL19" s="30">
        <f t="shared" si="51"/>
        <v>605000</v>
      </c>
      <c r="AM19" s="30">
        <f t="shared" si="51"/>
        <v>605000</v>
      </c>
      <c r="AN19" s="30">
        <f t="shared" si="51"/>
        <v>605000</v>
      </c>
      <c r="AO19" s="46">
        <f t="shared" si="11"/>
        <v>7260000</v>
      </c>
    </row>
    <row r="20" spans="1:41">
      <c r="A20" s="29" t="s">
        <v>33</v>
      </c>
      <c r="B20" s="24"/>
      <c r="C20" s="30">
        <f>SUM(C14:C16)*$B9</f>
        <v>900000</v>
      </c>
      <c r="D20" s="30">
        <f t="shared" ref="D20:N20" si="52">SUM(D14:D16)*$B9</f>
        <v>1200000</v>
      </c>
      <c r="E20" s="30">
        <f t="shared" si="52"/>
        <v>1600000</v>
      </c>
      <c r="F20" s="30">
        <f t="shared" si="52"/>
        <v>4000000</v>
      </c>
      <c r="G20" s="30">
        <f t="shared" si="52"/>
        <v>4800000</v>
      </c>
      <c r="H20" s="30">
        <f t="shared" si="52"/>
        <v>5600000</v>
      </c>
      <c r="I20" s="30">
        <f t="shared" si="52"/>
        <v>6400000</v>
      </c>
      <c r="J20" s="30">
        <f t="shared" si="52"/>
        <v>7200000</v>
      </c>
      <c r="K20" s="30">
        <f t="shared" si="52"/>
        <v>8000000</v>
      </c>
      <c r="L20" s="30">
        <f t="shared" si="52"/>
        <v>8800000</v>
      </c>
      <c r="M20" s="30">
        <f t="shared" si="52"/>
        <v>9600000</v>
      </c>
      <c r="N20" s="30">
        <f t="shared" si="52"/>
        <v>9600000</v>
      </c>
      <c r="O20" s="46">
        <f t="shared" si="7"/>
        <v>67700000</v>
      </c>
      <c r="P20" s="30">
        <f t="shared" ref="P20:AA20" si="53">SUM(P14:P16)*$B9</f>
        <v>22004400</v>
      </c>
      <c r="Q20" s="30">
        <f t="shared" si="53"/>
        <v>22004400</v>
      </c>
      <c r="R20" s="30">
        <f t="shared" si="53"/>
        <v>22004400</v>
      </c>
      <c r="S20" s="30">
        <f t="shared" si="53"/>
        <v>22004400</v>
      </c>
      <c r="T20" s="30">
        <f t="shared" si="53"/>
        <v>22004400</v>
      </c>
      <c r="U20" s="30">
        <f t="shared" si="53"/>
        <v>22004400</v>
      </c>
      <c r="V20" s="30">
        <f t="shared" si="53"/>
        <v>22004400</v>
      </c>
      <c r="W20" s="30">
        <f t="shared" si="53"/>
        <v>22004400</v>
      </c>
      <c r="X20" s="30">
        <f t="shared" si="53"/>
        <v>22004400</v>
      </c>
      <c r="Y20" s="30">
        <f t="shared" si="53"/>
        <v>22004400</v>
      </c>
      <c r="Z20" s="30">
        <f t="shared" si="53"/>
        <v>22004400</v>
      </c>
      <c r="AA20" s="30">
        <f t="shared" si="53"/>
        <v>22004400</v>
      </c>
      <c r="AB20" s="46">
        <f t="shared" si="9"/>
        <v>264052800</v>
      </c>
      <c r="AC20" s="30">
        <f t="shared" ref="AC20:AN20" si="54">SUM(AC14:AC16)*$B9</f>
        <v>24004800</v>
      </c>
      <c r="AD20" s="30">
        <f t="shared" si="54"/>
        <v>24004800</v>
      </c>
      <c r="AE20" s="30">
        <f t="shared" si="54"/>
        <v>24004800</v>
      </c>
      <c r="AF20" s="30">
        <f t="shared" si="54"/>
        <v>24004800</v>
      </c>
      <c r="AG20" s="30">
        <f t="shared" si="54"/>
        <v>24004800</v>
      </c>
      <c r="AH20" s="30">
        <f t="shared" si="54"/>
        <v>24004800</v>
      </c>
      <c r="AI20" s="30">
        <f t="shared" si="54"/>
        <v>24004800</v>
      </c>
      <c r="AJ20" s="30">
        <f t="shared" si="54"/>
        <v>24004800</v>
      </c>
      <c r="AK20" s="30">
        <f t="shared" si="54"/>
        <v>24004800</v>
      </c>
      <c r="AL20" s="30">
        <f t="shared" si="54"/>
        <v>24004800</v>
      </c>
      <c r="AM20" s="30">
        <f t="shared" si="54"/>
        <v>24004800</v>
      </c>
      <c r="AN20" s="30">
        <f t="shared" si="54"/>
        <v>24004800</v>
      </c>
      <c r="AO20" s="46">
        <f t="shared" si="11"/>
        <v>288057600</v>
      </c>
    </row>
    <row r="21" s="7" customFormat="1" spans="1:41">
      <c r="A21" s="33" t="s">
        <v>34</v>
      </c>
      <c r="B21" s="33"/>
      <c r="C21" s="34">
        <f t="shared" ref="C21:N21" si="55">SUM(C22:C31)</f>
        <v>2120000</v>
      </c>
      <c r="D21" s="34">
        <f t="shared" si="55"/>
        <v>1700000</v>
      </c>
      <c r="E21" s="34">
        <f t="shared" si="55"/>
        <v>1700000</v>
      </c>
      <c r="F21" s="34">
        <f t="shared" si="55"/>
        <v>2120000</v>
      </c>
      <c r="G21" s="34">
        <f t="shared" si="55"/>
        <v>2120000</v>
      </c>
      <c r="H21" s="34">
        <f t="shared" si="55"/>
        <v>2120000</v>
      </c>
      <c r="I21" s="34">
        <f t="shared" si="55"/>
        <v>2120000</v>
      </c>
      <c r="J21" s="34">
        <f t="shared" si="55"/>
        <v>2120000</v>
      </c>
      <c r="K21" s="34">
        <f t="shared" si="55"/>
        <v>2120000</v>
      </c>
      <c r="L21" s="34">
        <f t="shared" si="55"/>
        <v>2120000</v>
      </c>
      <c r="M21" s="34">
        <f t="shared" si="55"/>
        <v>2120000</v>
      </c>
      <c r="N21" s="34">
        <f t="shared" si="55"/>
        <v>2120000</v>
      </c>
      <c r="O21" s="46">
        <f t="shared" si="7"/>
        <v>24600000</v>
      </c>
      <c r="P21" s="34">
        <f t="shared" ref="P21:AA21" si="56">SUM(P22:P31)</f>
        <v>2794000</v>
      </c>
      <c r="Q21" s="34">
        <f t="shared" si="56"/>
        <v>2794000</v>
      </c>
      <c r="R21" s="34">
        <f t="shared" si="56"/>
        <v>2794000</v>
      </c>
      <c r="S21" s="34">
        <f t="shared" si="56"/>
        <v>2794000</v>
      </c>
      <c r="T21" s="34">
        <f t="shared" si="56"/>
        <v>2794000</v>
      </c>
      <c r="U21" s="34">
        <f t="shared" si="56"/>
        <v>2794000</v>
      </c>
      <c r="V21" s="34">
        <f t="shared" si="56"/>
        <v>2794000</v>
      </c>
      <c r="W21" s="34">
        <f t="shared" si="56"/>
        <v>2794000</v>
      </c>
      <c r="X21" s="34">
        <f t="shared" si="56"/>
        <v>2794000</v>
      </c>
      <c r="Y21" s="34">
        <f t="shared" si="56"/>
        <v>2794000</v>
      </c>
      <c r="Z21" s="34">
        <f t="shared" si="56"/>
        <v>2794000</v>
      </c>
      <c r="AA21" s="34">
        <f t="shared" si="56"/>
        <v>2794000</v>
      </c>
      <c r="AB21" s="46">
        <f t="shared" ref="AB21:AB31" si="57">SUM(P21:AA21)</f>
        <v>33528000</v>
      </c>
      <c r="AC21" s="34">
        <f t="shared" ref="AC21:AN21" si="58">SUM(AC22:AC31)</f>
        <v>3060800</v>
      </c>
      <c r="AD21" s="34">
        <f t="shared" si="58"/>
        <v>3060800</v>
      </c>
      <c r="AE21" s="34">
        <f t="shared" si="58"/>
        <v>3060800</v>
      </c>
      <c r="AF21" s="34">
        <f t="shared" si="58"/>
        <v>3060800</v>
      </c>
      <c r="AG21" s="34">
        <f t="shared" si="58"/>
        <v>3060800</v>
      </c>
      <c r="AH21" s="34">
        <f t="shared" si="58"/>
        <v>3060800</v>
      </c>
      <c r="AI21" s="34">
        <f t="shared" si="58"/>
        <v>3060800</v>
      </c>
      <c r="AJ21" s="34">
        <f t="shared" si="58"/>
        <v>3060800</v>
      </c>
      <c r="AK21" s="34">
        <f t="shared" si="58"/>
        <v>3060800</v>
      </c>
      <c r="AL21" s="34">
        <f t="shared" si="58"/>
        <v>3060800</v>
      </c>
      <c r="AM21" s="34">
        <f t="shared" si="58"/>
        <v>3060800</v>
      </c>
      <c r="AN21" s="34">
        <f t="shared" si="58"/>
        <v>3060800</v>
      </c>
      <c r="AO21" s="46">
        <f t="shared" ref="AO21:AO31" si="59">SUM(AC21:AN21)</f>
        <v>36729600</v>
      </c>
    </row>
    <row r="22" s="7" customFormat="1" spans="1:41">
      <c r="A22" s="35" t="s">
        <v>35</v>
      </c>
      <c r="B22" s="13">
        <v>450000</v>
      </c>
      <c r="C22" s="36">
        <f t="shared" ref="C22:D29" si="60">B22</f>
        <v>450000</v>
      </c>
      <c r="D22" s="36">
        <f t="shared" si="60"/>
        <v>450000</v>
      </c>
      <c r="E22" s="36">
        <f t="shared" ref="E22:N29" si="61">D22</f>
        <v>450000</v>
      </c>
      <c r="F22" s="36">
        <f t="shared" si="61"/>
        <v>450000</v>
      </c>
      <c r="G22" s="36">
        <f t="shared" si="61"/>
        <v>450000</v>
      </c>
      <c r="H22" s="36">
        <f t="shared" si="61"/>
        <v>450000</v>
      </c>
      <c r="I22" s="36">
        <f t="shared" si="61"/>
        <v>450000</v>
      </c>
      <c r="J22" s="36">
        <f t="shared" si="61"/>
        <v>450000</v>
      </c>
      <c r="K22" s="36">
        <f t="shared" si="61"/>
        <v>450000</v>
      </c>
      <c r="L22" s="36">
        <f t="shared" si="61"/>
        <v>450000</v>
      </c>
      <c r="M22" s="36">
        <f t="shared" si="61"/>
        <v>450000</v>
      </c>
      <c r="N22" s="36">
        <f t="shared" si="61"/>
        <v>450000</v>
      </c>
      <c r="O22" s="46">
        <f t="shared" si="7"/>
        <v>5400000</v>
      </c>
      <c r="P22" s="36">
        <f t="shared" ref="P22:AA29" si="62">C22*(1+$B$6)</f>
        <v>495000</v>
      </c>
      <c r="Q22" s="36">
        <f t="shared" si="62"/>
        <v>495000</v>
      </c>
      <c r="R22" s="36">
        <f t="shared" si="62"/>
        <v>495000</v>
      </c>
      <c r="S22" s="36">
        <f t="shared" si="62"/>
        <v>495000</v>
      </c>
      <c r="T22" s="36">
        <f t="shared" si="62"/>
        <v>495000</v>
      </c>
      <c r="U22" s="36">
        <f t="shared" si="62"/>
        <v>495000</v>
      </c>
      <c r="V22" s="36">
        <f t="shared" si="62"/>
        <v>495000</v>
      </c>
      <c r="W22" s="36">
        <f t="shared" si="62"/>
        <v>495000</v>
      </c>
      <c r="X22" s="36">
        <f t="shared" si="62"/>
        <v>495000</v>
      </c>
      <c r="Y22" s="36">
        <f t="shared" si="62"/>
        <v>495000</v>
      </c>
      <c r="Z22" s="36">
        <f t="shared" si="62"/>
        <v>495000</v>
      </c>
      <c r="AA22" s="36">
        <f t="shared" si="62"/>
        <v>495000</v>
      </c>
      <c r="AB22" s="46">
        <f t="shared" si="57"/>
        <v>5940000</v>
      </c>
      <c r="AC22" s="36">
        <f t="shared" ref="AC22:AN29" si="63">P22*(1+$B$6)</f>
        <v>544500</v>
      </c>
      <c r="AD22" s="36">
        <f t="shared" si="63"/>
        <v>544500</v>
      </c>
      <c r="AE22" s="36">
        <f t="shared" si="63"/>
        <v>544500</v>
      </c>
      <c r="AF22" s="36">
        <f t="shared" si="63"/>
        <v>544500</v>
      </c>
      <c r="AG22" s="36">
        <f t="shared" si="63"/>
        <v>544500</v>
      </c>
      <c r="AH22" s="36">
        <f t="shared" si="63"/>
        <v>544500</v>
      </c>
      <c r="AI22" s="36">
        <f t="shared" si="63"/>
        <v>544500</v>
      </c>
      <c r="AJ22" s="36">
        <f t="shared" si="63"/>
        <v>544500</v>
      </c>
      <c r="AK22" s="36">
        <f t="shared" si="63"/>
        <v>544500</v>
      </c>
      <c r="AL22" s="36">
        <f t="shared" si="63"/>
        <v>544500</v>
      </c>
      <c r="AM22" s="36">
        <f t="shared" si="63"/>
        <v>544500</v>
      </c>
      <c r="AN22" s="36">
        <f t="shared" si="63"/>
        <v>544500</v>
      </c>
      <c r="AO22" s="46">
        <f t="shared" si="59"/>
        <v>6534000</v>
      </c>
    </row>
    <row r="23" s="7" customFormat="1" spans="1:41">
      <c r="A23" s="35" t="s">
        <v>36</v>
      </c>
      <c r="B23" s="13">
        <v>200000</v>
      </c>
      <c r="C23" s="36">
        <f t="shared" si="60"/>
        <v>200000</v>
      </c>
      <c r="D23" s="36">
        <f t="shared" si="60"/>
        <v>200000</v>
      </c>
      <c r="E23" s="36">
        <f t="shared" si="61"/>
        <v>200000</v>
      </c>
      <c r="F23" s="36">
        <f t="shared" si="61"/>
        <v>200000</v>
      </c>
      <c r="G23" s="36">
        <f t="shared" si="61"/>
        <v>200000</v>
      </c>
      <c r="H23" s="36">
        <f t="shared" si="61"/>
        <v>200000</v>
      </c>
      <c r="I23" s="36">
        <f t="shared" si="61"/>
        <v>200000</v>
      </c>
      <c r="J23" s="36">
        <f t="shared" si="61"/>
        <v>200000</v>
      </c>
      <c r="K23" s="36">
        <f t="shared" si="61"/>
        <v>200000</v>
      </c>
      <c r="L23" s="36">
        <f t="shared" si="61"/>
        <v>200000</v>
      </c>
      <c r="M23" s="36">
        <f t="shared" si="61"/>
        <v>200000</v>
      </c>
      <c r="N23" s="36">
        <f t="shared" si="61"/>
        <v>200000</v>
      </c>
      <c r="O23" s="46">
        <f t="shared" ref="O23" si="64">SUM(C23:N23)</f>
        <v>2400000</v>
      </c>
      <c r="P23" s="36">
        <f t="shared" si="62"/>
        <v>220000</v>
      </c>
      <c r="Q23" s="36">
        <f t="shared" si="62"/>
        <v>220000</v>
      </c>
      <c r="R23" s="36">
        <f t="shared" si="62"/>
        <v>220000</v>
      </c>
      <c r="S23" s="36">
        <f t="shared" si="62"/>
        <v>220000</v>
      </c>
      <c r="T23" s="36">
        <f t="shared" si="62"/>
        <v>220000</v>
      </c>
      <c r="U23" s="36">
        <f t="shared" si="62"/>
        <v>220000</v>
      </c>
      <c r="V23" s="36">
        <f t="shared" si="62"/>
        <v>220000</v>
      </c>
      <c r="W23" s="36">
        <f t="shared" si="62"/>
        <v>220000</v>
      </c>
      <c r="X23" s="36">
        <f t="shared" si="62"/>
        <v>220000</v>
      </c>
      <c r="Y23" s="36">
        <f t="shared" si="62"/>
        <v>220000</v>
      </c>
      <c r="Z23" s="36">
        <f t="shared" si="62"/>
        <v>220000</v>
      </c>
      <c r="AA23" s="36">
        <f t="shared" si="62"/>
        <v>220000</v>
      </c>
      <c r="AB23" s="46">
        <f t="shared" ref="AB23" si="65">SUM(P23:AA23)</f>
        <v>2640000</v>
      </c>
      <c r="AC23" s="36">
        <f t="shared" si="63"/>
        <v>242000</v>
      </c>
      <c r="AD23" s="36">
        <f t="shared" si="63"/>
        <v>242000</v>
      </c>
      <c r="AE23" s="36">
        <f t="shared" si="63"/>
        <v>242000</v>
      </c>
      <c r="AF23" s="36">
        <f t="shared" si="63"/>
        <v>242000</v>
      </c>
      <c r="AG23" s="36">
        <f t="shared" si="63"/>
        <v>242000</v>
      </c>
      <c r="AH23" s="36">
        <f t="shared" si="63"/>
        <v>242000</v>
      </c>
      <c r="AI23" s="36">
        <f t="shared" si="63"/>
        <v>242000</v>
      </c>
      <c r="AJ23" s="36">
        <f t="shared" si="63"/>
        <v>242000</v>
      </c>
      <c r="AK23" s="36">
        <f t="shared" si="63"/>
        <v>242000</v>
      </c>
      <c r="AL23" s="36">
        <f t="shared" si="63"/>
        <v>242000</v>
      </c>
      <c r="AM23" s="36">
        <f t="shared" si="63"/>
        <v>242000</v>
      </c>
      <c r="AN23" s="36">
        <f t="shared" si="63"/>
        <v>242000</v>
      </c>
      <c r="AO23" s="46">
        <f t="shared" ref="AO23" si="66">SUM(AC23:AN23)</f>
        <v>2904000</v>
      </c>
    </row>
    <row r="24" s="7" customFormat="1" spans="1:41">
      <c r="A24" s="35" t="s">
        <v>37</v>
      </c>
      <c r="B24" s="13">
        <v>150000</v>
      </c>
      <c r="C24" s="36">
        <f t="shared" si="60"/>
        <v>150000</v>
      </c>
      <c r="D24" s="36">
        <f t="shared" si="60"/>
        <v>150000</v>
      </c>
      <c r="E24" s="36">
        <f t="shared" si="61"/>
        <v>150000</v>
      </c>
      <c r="F24" s="36">
        <f t="shared" si="61"/>
        <v>150000</v>
      </c>
      <c r="G24" s="36">
        <f t="shared" si="61"/>
        <v>150000</v>
      </c>
      <c r="H24" s="36">
        <f t="shared" si="61"/>
        <v>150000</v>
      </c>
      <c r="I24" s="36">
        <f t="shared" si="61"/>
        <v>150000</v>
      </c>
      <c r="J24" s="36">
        <f t="shared" si="61"/>
        <v>150000</v>
      </c>
      <c r="K24" s="36">
        <f t="shared" si="61"/>
        <v>150000</v>
      </c>
      <c r="L24" s="36">
        <f t="shared" si="61"/>
        <v>150000</v>
      </c>
      <c r="M24" s="36">
        <f t="shared" si="61"/>
        <v>150000</v>
      </c>
      <c r="N24" s="36">
        <f t="shared" si="61"/>
        <v>150000</v>
      </c>
      <c r="O24" s="46">
        <f t="shared" ref="O24" si="67">SUM(C24:N24)</f>
        <v>1800000</v>
      </c>
      <c r="P24" s="36">
        <f t="shared" si="62"/>
        <v>165000</v>
      </c>
      <c r="Q24" s="36">
        <f t="shared" si="62"/>
        <v>165000</v>
      </c>
      <c r="R24" s="36">
        <f t="shared" si="62"/>
        <v>165000</v>
      </c>
      <c r="S24" s="36">
        <f t="shared" si="62"/>
        <v>165000</v>
      </c>
      <c r="T24" s="36">
        <f t="shared" si="62"/>
        <v>165000</v>
      </c>
      <c r="U24" s="36">
        <f t="shared" si="62"/>
        <v>165000</v>
      </c>
      <c r="V24" s="36">
        <f t="shared" si="62"/>
        <v>165000</v>
      </c>
      <c r="W24" s="36">
        <f t="shared" si="62"/>
        <v>165000</v>
      </c>
      <c r="X24" s="36">
        <f t="shared" si="62"/>
        <v>165000</v>
      </c>
      <c r="Y24" s="36">
        <f t="shared" si="62"/>
        <v>165000</v>
      </c>
      <c r="Z24" s="36">
        <f t="shared" si="62"/>
        <v>165000</v>
      </c>
      <c r="AA24" s="36">
        <f t="shared" si="62"/>
        <v>165000</v>
      </c>
      <c r="AB24" s="46">
        <f t="shared" ref="AB24" si="68">SUM(P24:AA24)</f>
        <v>1980000</v>
      </c>
      <c r="AC24" s="36">
        <f t="shared" si="63"/>
        <v>181500</v>
      </c>
      <c r="AD24" s="36">
        <f t="shared" si="63"/>
        <v>181500</v>
      </c>
      <c r="AE24" s="36">
        <f t="shared" si="63"/>
        <v>181500</v>
      </c>
      <c r="AF24" s="36">
        <f t="shared" si="63"/>
        <v>181500</v>
      </c>
      <c r="AG24" s="36">
        <f t="shared" si="63"/>
        <v>181500</v>
      </c>
      <c r="AH24" s="36">
        <f t="shared" si="63"/>
        <v>181500</v>
      </c>
      <c r="AI24" s="36">
        <f t="shared" si="63"/>
        <v>181500</v>
      </c>
      <c r="AJ24" s="36">
        <f t="shared" si="63"/>
        <v>181500</v>
      </c>
      <c r="AK24" s="36">
        <f t="shared" si="63"/>
        <v>181500</v>
      </c>
      <c r="AL24" s="36">
        <f t="shared" si="63"/>
        <v>181500</v>
      </c>
      <c r="AM24" s="36">
        <f t="shared" si="63"/>
        <v>181500</v>
      </c>
      <c r="AN24" s="36">
        <f t="shared" si="63"/>
        <v>181500</v>
      </c>
      <c r="AO24" s="46">
        <f t="shared" ref="AO24" si="69">SUM(AC24:AN24)</f>
        <v>2178000</v>
      </c>
    </row>
    <row r="25" s="7" customFormat="1" spans="1:41">
      <c r="A25" s="35" t="s">
        <v>38</v>
      </c>
      <c r="B25" s="13">
        <v>140000</v>
      </c>
      <c r="C25" s="36">
        <f t="shared" si="60"/>
        <v>140000</v>
      </c>
      <c r="D25" s="36">
        <f t="shared" si="60"/>
        <v>140000</v>
      </c>
      <c r="E25" s="36">
        <f t="shared" si="61"/>
        <v>140000</v>
      </c>
      <c r="F25" s="36">
        <f t="shared" si="61"/>
        <v>140000</v>
      </c>
      <c r="G25" s="36">
        <f t="shared" si="61"/>
        <v>140000</v>
      </c>
      <c r="H25" s="36">
        <f t="shared" si="61"/>
        <v>140000</v>
      </c>
      <c r="I25" s="36">
        <f t="shared" si="61"/>
        <v>140000</v>
      </c>
      <c r="J25" s="36">
        <f t="shared" si="61"/>
        <v>140000</v>
      </c>
      <c r="K25" s="36">
        <f t="shared" si="61"/>
        <v>140000</v>
      </c>
      <c r="L25" s="36">
        <f t="shared" si="61"/>
        <v>140000</v>
      </c>
      <c r="M25" s="36">
        <f t="shared" si="61"/>
        <v>140000</v>
      </c>
      <c r="N25" s="36">
        <f t="shared" si="61"/>
        <v>140000</v>
      </c>
      <c r="O25" s="46">
        <f t="shared" ref="O25:O26" si="70">SUM(C25:N25)</f>
        <v>1680000</v>
      </c>
      <c r="P25" s="36">
        <f t="shared" si="62"/>
        <v>154000</v>
      </c>
      <c r="Q25" s="36">
        <f t="shared" si="62"/>
        <v>154000</v>
      </c>
      <c r="R25" s="36">
        <f t="shared" si="62"/>
        <v>154000</v>
      </c>
      <c r="S25" s="36">
        <f t="shared" si="62"/>
        <v>154000</v>
      </c>
      <c r="T25" s="36">
        <f t="shared" si="62"/>
        <v>154000</v>
      </c>
      <c r="U25" s="36">
        <f t="shared" si="62"/>
        <v>154000</v>
      </c>
      <c r="V25" s="36">
        <f t="shared" si="62"/>
        <v>154000</v>
      </c>
      <c r="W25" s="36">
        <f t="shared" si="62"/>
        <v>154000</v>
      </c>
      <c r="X25" s="36">
        <f t="shared" si="62"/>
        <v>154000</v>
      </c>
      <c r="Y25" s="36">
        <f t="shared" si="62"/>
        <v>154000</v>
      </c>
      <c r="Z25" s="36">
        <f t="shared" si="62"/>
        <v>154000</v>
      </c>
      <c r="AA25" s="36">
        <f t="shared" si="62"/>
        <v>154000</v>
      </c>
      <c r="AB25" s="46">
        <f t="shared" ref="AB25:AB26" si="71">SUM(P25:AA25)</f>
        <v>1848000</v>
      </c>
      <c r="AC25" s="36">
        <f t="shared" si="63"/>
        <v>169400</v>
      </c>
      <c r="AD25" s="36">
        <f t="shared" si="63"/>
        <v>169400</v>
      </c>
      <c r="AE25" s="36">
        <f t="shared" si="63"/>
        <v>169400</v>
      </c>
      <c r="AF25" s="36">
        <f t="shared" si="63"/>
        <v>169400</v>
      </c>
      <c r="AG25" s="36">
        <f t="shared" si="63"/>
        <v>169400</v>
      </c>
      <c r="AH25" s="36">
        <f t="shared" si="63"/>
        <v>169400</v>
      </c>
      <c r="AI25" s="36">
        <f t="shared" si="63"/>
        <v>169400</v>
      </c>
      <c r="AJ25" s="36">
        <f t="shared" si="63"/>
        <v>169400</v>
      </c>
      <c r="AK25" s="36">
        <f t="shared" si="63"/>
        <v>169400</v>
      </c>
      <c r="AL25" s="36">
        <f t="shared" si="63"/>
        <v>169400</v>
      </c>
      <c r="AM25" s="36">
        <f t="shared" si="63"/>
        <v>169400</v>
      </c>
      <c r="AN25" s="36">
        <f t="shared" si="63"/>
        <v>169400</v>
      </c>
      <c r="AO25" s="46">
        <f t="shared" ref="AO25:AO26" si="72">SUM(AC25:AN25)</f>
        <v>2032800</v>
      </c>
    </row>
    <row r="26" s="7" customFormat="1" spans="1:41">
      <c r="A26" s="35" t="s">
        <v>39</v>
      </c>
      <c r="B26" s="13">
        <v>70000</v>
      </c>
      <c r="C26" s="36">
        <f t="shared" si="60"/>
        <v>70000</v>
      </c>
      <c r="D26" s="36">
        <f t="shared" si="60"/>
        <v>70000</v>
      </c>
      <c r="E26" s="36">
        <f t="shared" ref="E26" si="73">D26</f>
        <v>70000</v>
      </c>
      <c r="F26" s="36">
        <f t="shared" ref="F26" si="74">E26</f>
        <v>70000</v>
      </c>
      <c r="G26" s="36">
        <f t="shared" ref="G26" si="75">F26</f>
        <v>70000</v>
      </c>
      <c r="H26" s="36">
        <f t="shared" ref="H26" si="76">G26</f>
        <v>70000</v>
      </c>
      <c r="I26" s="36">
        <f t="shared" ref="I26" si="77">H26</f>
        <v>70000</v>
      </c>
      <c r="J26" s="36">
        <f t="shared" ref="J26" si="78">I26</f>
        <v>70000</v>
      </c>
      <c r="K26" s="36">
        <f t="shared" ref="K26" si="79">J26</f>
        <v>70000</v>
      </c>
      <c r="L26" s="36">
        <f t="shared" ref="L26" si="80">K26</f>
        <v>70000</v>
      </c>
      <c r="M26" s="36">
        <f t="shared" ref="M26" si="81">L26</f>
        <v>70000</v>
      </c>
      <c r="N26" s="36">
        <f t="shared" ref="N26" si="82">M26</f>
        <v>70000</v>
      </c>
      <c r="O26" s="46">
        <f t="shared" si="70"/>
        <v>840000</v>
      </c>
      <c r="P26" s="36">
        <f t="shared" si="62"/>
        <v>77000</v>
      </c>
      <c r="Q26" s="36">
        <f t="shared" si="62"/>
        <v>77000</v>
      </c>
      <c r="R26" s="36">
        <f t="shared" si="62"/>
        <v>77000</v>
      </c>
      <c r="S26" s="36">
        <f t="shared" si="62"/>
        <v>77000</v>
      </c>
      <c r="T26" s="36">
        <f t="shared" si="62"/>
        <v>77000</v>
      </c>
      <c r="U26" s="36">
        <f t="shared" si="62"/>
        <v>77000</v>
      </c>
      <c r="V26" s="36">
        <f t="shared" si="62"/>
        <v>77000</v>
      </c>
      <c r="W26" s="36">
        <f t="shared" si="62"/>
        <v>77000</v>
      </c>
      <c r="X26" s="36">
        <f t="shared" si="62"/>
        <v>77000</v>
      </c>
      <c r="Y26" s="36">
        <f t="shared" si="62"/>
        <v>77000</v>
      </c>
      <c r="Z26" s="36">
        <f t="shared" si="62"/>
        <v>77000</v>
      </c>
      <c r="AA26" s="36">
        <f t="shared" si="62"/>
        <v>77000</v>
      </c>
      <c r="AB26" s="46">
        <f t="shared" si="71"/>
        <v>924000</v>
      </c>
      <c r="AC26" s="36">
        <f t="shared" si="63"/>
        <v>84700</v>
      </c>
      <c r="AD26" s="36">
        <f t="shared" si="63"/>
        <v>84700</v>
      </c>
      <c r="AE26" s="36">
        <f t="shared" si="63"/>
        <v>84700</v>
      </c>
      <c r="AF26" s="36">
        <f t="shared" si="63"/>
        <v>84700</v>
      </c>
      <c r="AG26" s="36">
        <f t="shared" si="63"/>
        <v>84700</v>
      </c>
      <c r="AH26" s="36">
        <f t="shared" si="63"/>
        <v>84700</v>
      </c>
      <c r="AI26" s="36">
        <f t="shared" si="63"/>
        <v>84700</v>
      </c>
      <c r="AJ26" s="36">
        <f t="shared" si="63"/>
        <v>84700</v>
      </c>
      <c r="AK26" s="36">
        <f t="shared" si="63"/>
        <v>84700</v>
      </c>
      <c r="AL26" s="36">
        <f t="shared" si="63"/>
        <v>84700</v>
      </c>
      <c r="AM26" s="36">
        <f t="shared" si="63"/>
        <v>84700</v>
      </c>
      <c r="AN26" s="36">
        <f t="shared" si="63"/>
        <v>84700</v>
      </c>
      <c r="AO26" s="46">
        <f t="shared" si="72"/>
        <v>1016400</v>
      </c>
    </row>
    <row r="27" s="7" customFormat="1" spans="1:41">
      <c r="A27" s="35" t="s">
        <v>40</v>
      </c>
      <c r="B27" s="13">
        <v>120000</v>
      </c>
      <c r="C27" s="36">
        <f t="shared" si="60"/>
        <v>120000</v>
      </c>
      <c r="D27" s="36">
        <f t="shared" si="60"/>
        <v>120000</v>
      </c>
      <c r="E27" s="36">
        <f t="shared" si="61"/>
        <v>120000</v>
      </c>
      <c r="F27" s="36">
        <f t="shared" si="61"/>
        <v>120000</v>
      </c>
      <c r="G27" s="36">
        <f t="shared" si="61"/>
        <v>120000</v>
      </c>
      <c r="H27" s="36">
        <f t="shared" si="61"/>
        <v>120000</v>
      </c>
      <c r="I27" s="36">
        <f t="shared" si="61"/>
        <v>120000</v>
      </c>
      <c r="J27" s="36">
        <f t="shared" si="61"/>
        <v>120000</v>
      </c>
      <c r="K27" s="36">
        <f t="shared" si="61"/>
        <v>120000</v>
      </c>
      <c r="L27" s="36">
        <f t="shared" si="61"/>
        <v>120000</v>
      </c>
      <c r="M27" s="36">
        <f t="shared" si="61"/>
        <v>120000</v>
      </c>
      <c r="N27" s="36">
        <f t="shared" si="61"/>
        <v>120000</v>
      </c>
      <c r="O27" s="46">
        <f t="shared" ref="O27" si="83">SUM(C27:N27)</f>
        <v>1440000</v>
      </c>
      <c r="P27" s="36">
        <f t="shared" si="62"/>
        <v>132000</v>
      </c>
      <c r="Q27" s="36">
        <f t="shared" si="62"/>
        <v>132000</v>
      </c>
      <c r="R27" s="36">
        <f t="shared" si="62"/>
        <v>132000</v>
      </c>
      <c r="S27" s="36">
        <f t="shared" si="62"/>
        <v>132000</v>
      </c>
      <c r="T27" s="36">
        <f t="shared" si="62"/>
        <v>132000</v>
      </c>
      <c r="U27" s="36">
        <f t="shared" si="62"/>
        <v>132000</v>
      </c>
      <c r="V27" s="36">
        <f t="shared" si="62"/>
        <v>132000</v>
      </c>
      <c r="W27" s="36">
        <f t="shared" si="62"/>
        <v>132000</v>
      </c>
      <c r="X27" s="36">
        <f t="shared" si="62"/>
        <v>132000</v>
      </c>
      <c r="Y27" s="36">
        <f t="shared" si="62"/>
        <v>132000</v>
      </c>
      <c r="Z27" s="36">
        <f t="shared" si="62"/>
        <v>132000</v>
      </c>
      <c r="AA27" s="36">
        <f t="shared" si="62"/>
        <v>132000</v>
      </c>
      <c r="AB27" s="46">
        <f t="shared" ref="AB27" si="84">SUM(P27:AA27)</f>
        <v>1584000</v>
      </c>
      <c r="AC27" s="36">
        <f t="shared" si="63"/>
        <v>145200</v>
      </c>
      <c r="AD27" s="36">
        <f t="shared" si="63"/>
        <v>145200</v>
      </c>
      <c r="AE27" s="36">
        <f t="shared" si="63"/>
        <v>145200</v>
      </c>
      <c r="AF27" s="36">
        <f t="shared" si="63"/>
        <v>145200</v>
      </c>
      <c r="AG27" s="36">
        <f t="shared" si="63"/>
        <v>145200</v>
      </c>
      <c r="AH27" s="36">
        <f t="shared" si="63"/>
        <v>145200</v>
      </c>
      <c r="AI27" s="36">
        <f t="shared" si="63"/>
        <v>145200</v>
      </c>
      <c r="AJ27" s="36">
        <f t="shared" si="63"/>
        <v>145200</v>
      </c>
      <c r="AK27" s="36">
        <f t="shared" si="63"/>
        <v>145200</v>
      </c>
      <c r="AL27" s="36">
        <f t="shared" si="63"/>
        <v>145200</v>
      </c>
      <c r="AM27" s="36">
        <f t="shared" si="63"/>
        <v>145200</v>
      </c>
      <c r="AN27" s="36">
        <f t="shared" si="63"/>
        <v>145200</v>
      </c>
      <c r="AO27" s="46">
        <f t="shared" ref="AO27" si="85">SUM(AC27:AN27)</f>
        <v>1742400</v>
      </c>
    </row>
    <row r="28" s="7" customFormat="1" spans="1:41">
      <c r="A28" s="35" t="s">
        <v>41</v>
      </c>
      <c r="B28" s="13">
        <v>100000</v>
      </c>
      <c r="C28" s="36">
        <f t="shared" si="60"/>
        <v>100000</v>
      </c>
      <c r="D28" s="36">
        <f t="shared" si="60"/>
        <v>100000</v>
      </c>
      <c r="E28" s="36">
        <f t="shared" si="61"/>
        <v>100000</v>
      </c>
      <c r="F28" s="36">
        <f t="shared" si="61"/>
        <v>100000</v>
      </c>
      <c r="G28" s="36">
        <f t="shared" si="61"/>
        <v>100000</v>
      </c>
      <c r="H28" s="36">
        <f t="shared" si="61"/>
        <v>100000</v>
      </c>
      <c r="I28" s="36">
        <f t="shared" si="61"/>
        <v>100000</v>
      </c>
      <c r="J28" s="36">
        <f t="shared" si="61"/>
        <v>100000</v>
      </c>
      <c r="K28" s="36">
        <f t="shared" si="61"/>
        <v>100000</v>
      </c>
      <c r="L28" s="36">
        <f t="shared" si="61"/>
        <v>100000</v>
      </c>
      <c r="M28" s="36">
        <f t="shared" si="61"/>
        <v>100000</v>
      </c>
      <c r="N28" s="36">
        <f t="shared" si="61"/>
        <v>100000</v>
      </c>
      <c r="O28" s="46">
        <f t="shared" ref="O28" si="86">SUM(C28:N28)</f>
        <v>1200000</v>
      </c>
      <c r="P28" s="36">
        <f t="shared" si="62"/>
        <v>110000</v>
      </c>
      <c r="Q28" s="36">
        <f t="shared" si="62"/>
        <v>110000</v>
      </c>
      <c r="R28" s="36">
        <f t="shared" si="62"/>
        <v>110000</v>
      </c>
      <c r="S28" s="36">
        <f t="shared" si="62"/>
        <v>110000</v>
      </c>
      <c r="T28" s="36">
        <f t="shared" si="62"/>
        <v>110000</v>
      </c>
      <c r="U28" s="36">
        <f t="shared" si="62"/>
        <v>110000</v>
      </c>
      <c r="V28" s="36">
        <f t="shared" si="62"/>
        <v>110000</v>
      </c>
      <c r="W28" s="36">
        <f t="shared" si="62"/>
        <v>110000</v>
      </c>
      <c r="X28" s="36">
        <f t="shared" si="62"/>
        <v>110000</v>
      </c>
      <c r="Y28" s="36">
        <f t="shared" si="62"/>
        <v>110000</v>
      </c>
      <c r="Z28" s="36">
        <f t="shared" si="62"/>
        <v>110000</v>
      </c>
      <c r="AA28" s="36">
        <f t="shared" si="62"/>
        <v>110000</v>
      </c>
      <c r="AB28" s="46">
        <f t="shared" ref="AB28" si="87">SUM(P28:AA28)</f>
        <v>1320000</v>
      </c>
      <c r="AC28" s="36">
        <f t="shared" si="63"/>
        <v>121000</v>
      </c>
      <c r="AD28" s="36">
        <f t="shared" si="63"/>
        <v>121000</v>
      </c>
      <c r="AE28" s="36">
        <f t="shared" si="63"/>
        <v>121000</v>
      </c>
      <c r="AF28" s="36">
        <f t="shared" si="63"/>
        <v>121000</v>
      </c>
      <c r="AG28" s="36">
        <f t="shared" si="63"/>
        <v>121000</v>
      </c>
      <c r="AH28" s="36">
        <f t="shared" si="63"/>
        <v>121000</v>
      </c>
      <c r="AI28" s="36">
        <f t="shared" si="63"/>
        <v>121000</v>
      </c>
      <c r="AJ28" s="36">
        <f t="shared" si="63"/>
        <v>121000</v>
      </c>
      <c r="AK28" s="36">
        <f t="shared" si="63"/>
        <v>121000</v>
      </c>
      <c r="AL28" s="36">
        <f t="shared" si="63"/>
        <v>121000</v>
      </c>
      <c r="AM28" s="36">
        <f t="shared" si="63"/>
        <v>121000</v>
      </c>
      <c r="AN28" s="36">
        <f t="shared" si="63"/>
        <v>121000</v>
      </c>
      <c r="AO28" s="46">
        <f t="shared" ref="AO28" si="88">SUM(AC28:AN28)</f>
        <v>1452000</v>
      </c>
    </row>
    <row r="29" s="7" customFormat="1" spans="1:41">
      <c r="A29" s="35" t="s">
        <v>42</v>
      </c>
      <c r="B29" s="13">
        <v>50000</v>
      </c>
      <c r="C29" s="36">
        <f t="shared" si="60"/>
        <v>50000</v>
      </c>
      <c r="D29" s="36">
        <f t="shared" si="60"/>
        <v>50000</v>
      </c>
      <c r="E29" s="36">
        <f t="shared" si="61"/>
        <v>50000</v>
      </c>
      <c r="F29" s="36">
        <f t="shared" si="61"/>
        <v>50000</v>
      </c>
      <c r="G29" s="36">
        <f t="shared" si="61"/>
        <v>50000</v>
      </c>
      <c r="H29" s="36">
        <f t="shared" si="61"/>
        <v>50000</v>
      </c>
      <c r="I29" s="36">
        <f t="shared" si="61"/>
        <v>50000</v>
      </c>
      <c r="J29" s="36">
        <f t="shared" si="61"/>
        <v>50000</v>
      </c>
      <c r="K29" s="36">
        <f t="shared" si="61"/>
        <v>50000</v>
      </c>
      <c r="L29" s="36">
        <f t="shared" si="61"/>
        <v>50000</v>
      </c>
      <c r="M29" s="36">
        <f t="shared" si="61"/>
        <v>50000</v>
      </c>
      <c r="N29" s="36">
        <f t="shared" si="61"/>
        <v>50000</v>
      </c>
      <c r="O29" s="46">
        <f t="shared" ref="O29" si="89">SUM(C29:N29)</f>
        <v>600000</v>
      </c>
      <c r="P29" s="36">
        <f t="shared" si="62"/>
        <v>55000</v>
      </c>
      <c r="Q29" s="36">
        <f t="shared" si="62"/>
        <v>55000</v>
      </c>
      <c r="R29" s="36">
        <f t="shared" si="62"/>
        <v>55000</v>
      </c>
      <c r="S29" s="36">
        <f t="shared" si="62"/>
        <v>55000</v>
      </c>
      <c r="T29" s="36">
        <f t="shared" si="62"/>
        <v>55000</v>
      </c>
      <c r="U29" s="36">
        <f t="shared" si="62"/>
        <v>55000</v>
      </c>
      <c r="V29" s="36">
        <f t="shared" si="62"/>
        <v>55000</v>
      </c>
      <c r="W29" s="36">
        <f t="shared" si="62"/>
        <v>55000</v>
      </c>
      <c r="X29" s="36">
        <f t="shared" si="62"/>
        <v>55000</v>
      </c>
      <c r="Y29" s="36">
        <f t="shared" si="62"/>
        <v>55000</v>
      </c>
      <c r="Z29" s="36">
        <f t="shared" si="62"/>
        <v>55000</v>
      </c>
      <c r="AA29" s="36">
        <f t="shared" si="62"/>
        <v>55000</v>
      </c>
      <c r="AB29" s="46">
        <f t="shared" ref="AB29" si="90">SUM(P29:AA29)</f>
        <v>660000</v>
      </c>
      <c r="AC29" s="36">
        <f t="shared" si="63"/>
        <v>60500</v>
      </c>
      <c r="AD29" s="36">
        <f t="shared" si="63"/>
        <v>60500</v>
      </c>
      <c r="AE29" s="36">
        <f t="shared" si="63"/>
        <v>60500</v>
      </c>
      <c r="AF29" s="36">
        <f t="shared" si="63"/>
        <v>60500</v>
      </c>
      <c r="AG29" s="36">
        <f t="shared" si="63"/>
        <v>60500</v>
      </c>
      <c r="AH29" s="36">
        <f t="shared" si="63"/>
        <v>60500</v>
      </c>
      <c r="AI29" s="36">
        <f t="shared" si="63"/>
        <v>60500</v>
      </c>
      <c r="AJ29" s="36">
        <f t="shared" si="63"/>
        <v>60500</v>
      </c>
      <c r="AK29" s="36">
        <f t="shared" si="63"/>
        <v>60500</v>
      </c>
      <c r="AL29" s="36">
        <f t="shared" si="63"/>
        <v>60500</v>
      </c>
      <c r="AM29" s="36">
        <f t="shared" si="63"/>
        <v>60500</v>
      </c>
      <c r="AN29" s="36">
        <f t="shared" si="63"/>
        <v>60500</v>
      </c>
      <c r="AO29" s="46">
        <f t="shared" ref="AO29" si="91">SUM(AC29:AN29)</f>
        <v>726000</v>
      </c>
    </row>
    <row r="30" s="7" customFormat="1" spans="1:41">
      <c r="A30" s="35" t="s">
        <v>43</v>
      </c>
      <c r="B30" s="13">
        <v>150000</v>
      </c>
      <c r="C30" s="36">
        <f>IF(C14=0,0,$B30*2)+IF(C15=0,0,$B30*2)+IF(C16=0,0,$B30*2)</f>
        <v>600000</v>
      </c>
      <c r="D30" s="36">
        <f t="shared" ref="D30:N30" si="92">IF(D14=0,0,$B30*2)+IF(D15=0,0,$B30*2)+IF(D16=0,0,$B30*2)</f>
        <v>300000</v>
      </c>
      <c r="E30" s="36">
        <f t="shared" si="92"/>
        <v>300000</v>
      </c>
      <c r="F30" s="36">
        <f t="shared" si="92"/>
        <v>600000</v>
      </c>
      <c r="G30" s="36">
        <f t="shared" si="92"/>
        <v>600000</v>
      </c>
      <c r="H30" s="36">
        <f t="shared" si="92"/>
        <v>600000</v>
      </c>
      <c r="I30" s="36">
        <f t="shared" si="92"/>
        <v>600000</v>
      </c>
      <c r="J30" s="36">
        <f t="shared" si="92"/>
        <v>600000</v>
      </c>
      <c r="K30" s="36">
        <f t="shared" si="92"/>
        <v>600000</v>
      </c>
      <c r="L30" s="36">
        <f t="shared" si="92"/>
        <v>600000</v>
      </c>
      <c r="M30" s="36">
        <f t="shared" si="92"/>
        <v>600000</v>
      </c>
      <c r="N30" s="36">
        <f t="shared" si="92"/>
        <v>600000</v>
      </c>
      <c r="O30" s="46">
        <f t="shared" si="7"/>
        <v>6600000</v>
      </c>
      <c r="P30" s="36">
        <f>IF(P14=0,0,$B30*2*(1+$B6))+IF(P15=0,0,$B30*2*(1+$B6))+IF(P16=0,0,$B30*2*(1+$B6))</f>
        <v>990000</v>
      </c>
      <c r="Q30" s="36">
        <f t="shared" ref="Q30:AA30" si="93">IF(Q14=0,0,$B30*2*(1+$B6))+IF(Q15=0,0,$B30*2*(1+$B6))+IF(Q16=0,0,$B30*2*(1+$B6))</f>
        <v>990000</v>
      </c>
      <c r="R30" s="36">
        <f t="shared" si="93"/>
        <v>990000</v>
      </c>
      <c r="S30" s="36">
        <f t="shared" si="93"/>
        <v>990000</v>
      </c>
      <c r="T30" s="36">
        <f t="shared" si="93"/>
        <v>990000</v>
      </c>
      <c r="U30" s="36">
        <f t="shared" si="93"/>
        <v>990000</v>
      </c>
      <c r="V30" s="36">
        <f t="shared" si="93"/>
        <v>990000</v>
      </c>
      <c r="W30" s="36">
        <f t="shared" si="93"/>
        <v>990000</v>
      </c>
      <c r="X30" s="36">
        <f t="shared" si="93"/>
        <v>990000</v>
      </c>
      <c r="Y30" s="36">
        <f t="shared" si="93"/>
        <v>990000</v>
      </c>
      <c r="Z30" s="36">
        <f t="shared" si="93"/>
        <v>990000</v>
      </c>
      <c r="AA30" s="36">
        <f t="shared" si="93"/>
        <v>990000</v>
      </c>
      <c r="AB30" s="46">
        <f t="shared" si="57"/>
        <v>11880000</v>
      </c>
      <c r="AC30" s="36">
        <f>IF(AC14=0,0,$B30*2*(1+$B6*2))+IF(AC15=0,0,$B30*2*(1+$B6*2))+IF(AC16=0,0,$B30*2*(1+$B6*2))</f>
        <v>1080000</v>
      </c>
      <c r="AD30" s="36">
        <f t="shared" ref="AD30:AN30" si="94">IF(AD14=0,0,$B30*2*(1+$B6*2))+IF(AD15=0,0,$B30*2*(1+$B6*2))+IF(AD16=0,0,$B30*2*(1+$B6*2))</f>
        <v>1080000</v>
      </c>
      <c r="AE30" s="36">
        <f t="shared" si="94"/>
        <v>1080000</v>
      </c>
      <c r="AF30" s="36">
        <f t="shared" si="94"/>
        <v>1080000</v>
      </c>
      <c r="AG30" s="36">
        <f t="shared" si="94"/>
        <v>1080000</v>
      </c>
      <c r="AH30" s="36">
        <f t="shared" si="94"/>
        <v>1080000</v>
      </c>
      <c r="AI30" s="36">
        <f t="shared" si="94"/>
        <v>1080000</v>
      </c>
      <c r="AJ30" s="36">
        <f t="shared" si="94"/>
        <v>1080000</v>
      </c>
      <c r="AK30" s="36">
        <f t="shared" si="94"/>
        <v>1080000</v>
      </c>
      <c r="AL30" s="36">
        <f t="shared" si="94"/>
        <v>1080000</v>
      </c>
      <c r="AM30" s="36">
        <f t="shared" si="94"/>
        <v>1080000</v>
      </c>
      <c r="AN30" s="36">
        <f t="shared" si="94"/>
        <v>1080000</v>
      </c>
      <c r="AO30" s="46">
        <f t="shared" si="59"/>
        <v>12960000</v>
      </c>
    </row>
    <row r="31" s="7" customFormat="1" spans="1:41">
      <c r="A31" s="35" t="s">
        <v>44</v>
      </c>
      <c r="B31" s="13">
        <v>60000</v>
      </c>
      <c r="C31" s="36">
        <f>IF(C14=0,0,$B31*2)+IF(C15=0,0,$B31*2)+IF(C16=0,0,$B31*2)</f>
        <v>240000</v>
      </c>
      <c r="D31" s="36">
        <f t="shared" ref="D31:N31" si="95">IF(D14=0,0,$B31*2)+IF(D15=0,0,$B31*2)+IF(D16=0,0,$B31*2)</f>
        <v>120000</v>
      </c>
      <c r="E31" s="36">
        <f t="shared" si="95"/>
        <v>120000</v>
      </c>
      <c r="F31" s="36">
        <f t="shared" si="95"/>
        <v>240000</v>
      </c>
      <c r="G31" s="36">
        <f t="shared" si="95"/>
        <v>240000</v>
      </c>
      <c r="H31" s="36">
        <f t="shared" si="95"/>
        <v>240000</v>
      </c>
      <c r="I31" s="36">
        <f t="shared" si="95"/>
        <v>240000</v>
      </c>
      <c r="J31" s="36">
        <f t="shared" si="95"/>
        <v>240000</v>
      </c>
      <c r="K31" s="36">
        <f t="shared" si="95"/>
        <v>240000</v>
      </c>
      <c r="L31" s="36">
        <f t="shared" si="95"/>
        <v>240000</v>
      </c>
      <c r="M31" s="36">
        <f t="shared" si="95"/>
        <v>240000</v>
      </c>
      <c r="N31" s="36">
        <f t="shared" si="95"/>
        <v>240000</v>
      </c>
      <c r="O31" s="46">
        <f t="shared" si="7"/>
        <v>2640000</v>
      </c>
      <c r="P31" s="36">
        <f>IF(P14=0,0,$B31*2*(1+$B6))+IF(P15=0,0,$B31*2*(1+$B6))+IF(P16=0,0,$B31*2*(1+$B6))</f>
        <v>396000</v>
      </c>
      <c r="Q31" s="36">
        <f t="shared" ref="Q31:AA31" si="96">IF(Q14=0,0,$B31*2*(1+$B6))+IF(Q15=0,0,$B31*2*(1+$B6))+IF(Q16=0,0,$B31*2*(1+$B6))</f>
        <v>396000</v>
      </c>
      <c r="R31" s="36">
        <f t="shared" si="96"/>
        <v>396000</v>
      </c>
      <c r="S31" s="36">
        <f t="shared" si="96"/>
        <v>396000</v>
      </c>
      <c r="T31" s="36">
        <f t="shared" si="96"/>
        <v>396000</v>
      </c>
      <c r="U31" s="36">
        <f t="shared" si="96"/>
        <v>396000</v>
      </c>
      <c r="V31" s="36">
        <f t="shared" si="96"/>
        <v>396000</v>
      </c>
      <c r="W31" s="36">
        <f t="shared" si="96"/>
        <v>396000</v>
      </c>
      <c r="X31" s="36">
        <f t="shared" si="96"/>
        <v>396000</v>
      </c>
      <c r="Y31" s="36">
        <f t="shared" si="96"/>
        <v>396000</v>
      </c>
      <c r="Z31" s="36">
        <f t="shared" si="96"/>
        <v>396000</v>
      </c>
      <c r="AA31" s="36">
        <f t="shared" si="96"/>
        <v>396000</v>
      </c>
      <c r="AB31" s="46">
        <f t="shared" si="57"/>
        <v>4752000</v>
      </c>
      <c r="AC31" s="36">
        <f>IF(AC14=0,0,$B31*2*(1+$B6*2))+IF(AC15=0,0,$B31*2*(1+$B6*2))+IF(AC16=0,0,$B31*2*(1+$B6*2))</f>
        <v>432000</v>
      </c>
      <c r="AD31" s="36">
        <f t="shared" ref="AD31:AN31" si="97">IF(AD14=0,0,$B31*2*(1+$B6*2))+IF(AD15=0,0,$B31*2*(1+$B6*2))+IF(AD16=0,0,$B31*2*(1+$B6*2))</f>
        <v>432000</v>
      </c>
      <c r="AE31" s="36">
        <f t="shared" si="97"/>
        <v>432000</v>
      </c>
      <c r="AF31" s="36">
        <f t="shared" si="97"/>
        <v>432000</v>
      </c>
      <c r="AG31" s="36">
        <f t="shared" si="97"/>
        <v>432000</v>
      </c>
      <c r="AH31" s="36">
        <f t="shared" si="97"/>
        <v>432000</v>
      </c>
      <c r="AI31" s="36">
        <f t="shared" si="97"/>
        <v>432000</v>
      </c>
      <c r="AJ31" s="36">
        <f t="shared" si="97"/>
        <v>432000</v>
      </c>
      <c r="AK31" s="36">
        <f t="shared" si="97"/>
        <v>432000</v>
      </c>
      <c r="AL31" s="36">
        <f t="shared" si="97"/>
        <v>432000</v>
      </c>
      <c r="AM31" s="36">
        <f t="shared" si="97"/>
        <v>432000</v>
      </c>
      <c r="AN31" s="36">
        <f t="shared" si="97"/>
        <v>432000</v>
      </c>
      <c r="AO31" s="46">
        <f t="shared" si="59"/>
        <v>5184000</v>
      </c>
    </row>
    <row r="32" s="7" customFormat="1" spans="1:41">
      <c r="A32" s="37" t="s">
        <v>45</v>
      </c>
      <c r="B32" s="13">
        <v>1200000</v>
      </c>
      <c r="C32" s="36">
        <f>IF(C14=0,0,$B32)+IF(C15=0,0,$B32)+IF(C16=0,0,$B32)</f>
        <v>2400000</v>
      </c>
      <c r="D32" s="36">
        <f t="shared" ref="D32:N32" si="98">IF(D14=0,0,$B32)+IF(D15=0,0,$B32)+IF(D16=0,0,$B32)</f>
        <v>1200000</v>
      </c>
      <c r="E32" s="36">
        <f t="shared" si="98"/>
        <v>1200000</v>
      </c>
      <c r="F32" s="36">
        <f t="shared" si="98"/>
        <v>2400000</v>
      </c>
      <c r="G32" s="36">
        <f t="shared" si="98"/>
        <v>2400000</v>
      </c>
      <c r="H32" s="36">
        <f t="shared" si="98"/>
        <v>2400000</v>
      </c>
      <c r="I32" s="36">
        <f t="shared" si="98"/>
        <v>2400000</v>
      </c>
      <c r="J32" s="36">
        <f t="shared" si="98"/>
        <v>2400000</v>
      </c>
      <c r="K32" s="36">
        <f t="shared" si="98"/>
        <v>2400000</v>
      </c>
      <c r="L32" s="36">
        <f t="shared" si="98"/>
        <v>2400000</v>
      </c>
      <c r="M32" s="36">
        <f t="shared" si="98"/>
        <v>2400000</v>
      </c>
      <c r="N32" s="36">
        <f t="shared" si="98"/>
        <v>2400000</v>
      </c>
      <c r="O32" s="46">
        <f t="shared" ref="O32" si="99">SUM(C32:N32)</f>
        <v>26400000</v>
      </c>
      <c r="P32" s="36">
        <f>IF(P14=0,0,$B32*(1+$B6))+IF(P15=0,0,$B32*(1+$B6))+IF(P16=0,0,$B32*(1+$B6))</f>
        <v>3960000</v>
      </c>
      <c r="Q32" s="36">
        <f t="shared" ref="Q32:AA32" si="100">IF(Q14=0,0,$B32*(1+$B6))+IF(Q15=0,0,$B32*(1+$B6))+IF(Q16=0,0,$B32*(1+$B6))</f>
        <v>3960000</v>
      </c>
      <c r="R32" s="36">
        <f t="shared" si="100"/>
        <v>3960000</v>
      </c>
      <c r="S32" s="36">
        <f t="shared" si="100"/>
        <v>3960000</v>
      </c>
      <c r="T32" s="36">
        <f t="shared" si="100"/>
        <v>3960000</v>
      </c>
      <c r="U32" s="36">
        <f t="shared" si="100"/>
        <v>3960000</v>
      </c>
      <c r="V32" s="36">
        <f t="shared" si="100"/>
        <v>3960000</v>
      </c>
      <c r="W32" s="36">
        <f t="shared" si="100"/>
        <v>3960000</v>
      </c>
      <c r="X32" s="36">
        <f t="shared" si="100"/>
        <v>3960000</v>
      </c>
      <c r="Y32" s="36">
        <f t="shared" si="100"/>
        <v>3960000</v>
      </c>
      <c r="Z32" s="36">
        <f t="shared" si="100"/>
        <v>3960000</v>
      </c>
      <c r="AA32" s="36">
        <f t="shared" si="100"/>
        <v>3960000</v>
      </c>
      <c r="AB32" s="46">
        <f t="shared" ref="AB32" si="101">SUM(P32:AA32)</f>
        <v>47520000</v>
      </c>
      <c r="AC32" s="36">
        <f>IF(AC14=0,0,$B32*(1+$B6*2))+IF(AC15=0,0,$B32*(1+$B6*2))+IF(AC16=0,0,$B32*(1+$B6*2))</f>
        <v>4320000</v>
      </c>
      <c r="AD32" s="36">
        <f t="shared" ref="AD32:AN32" si="102">IF(AD14=0,0,$B32*(1+$B6*2))+IF(AD15=0,0,$B32*(1+$B6*2))+IF(AD16=0,0,$B32*(1+$B6*2))</f>
        <v>4320000</v>
      </c>
      <c r="AE32" s="36">
        <f t="shared" si="102"/>
        <v>4320000</v>
      </c>
      <c r="AF32" s="36">
        <f t="shared" si="102"/>
        <v>4320000</v>
      </c>
      <c r="AG32" s="36">
        <f t="shared" si="102"/>
        <v>4320000</v>
      </c>
      <c r="AH32" s="36">
        <f t="shared" si="102"/>
        <v>4320000</v>
      </c>
      <c r="AI32" s="36">
        <f t="shared" si="102"/>
        <v>4320000</v>
      </c>
      <c r="AJ32" s="36">
        <f t="shared" si="102"/>
        <v>4320000</v>
      </c>
      <c r="AK32" s="36">
        <f t="shared" si="102"/>
        <v>4320000</v>
      </c>
      <c r="AL32" s="36">
        <f t="shared" si="102"/>
        <v>4320000</v>
      </c>
      <c r="AM32" s="36">
        <f t="shared" si="102"/>
        <v>4320000</v>
      </c>
      <c r="AN32" s="36">
        <f t="shared" si="102"/>
        <v>4320000</v>
      </c>
      <c r="AO32" s="46">
        <f t="shared" ref="AO32" si="103">SUM(AC32:AN32)</f>
        <v>51840000</v>
      </c>
    </row>
    <row r="33" s="7" customFormat="1" spans="1:41">
      <c r="A33" s="37" t="s">
        <v>46</v>
      </c>
      <c r="B33" s="13">
        <v>100000</v>
      </c>
      <c r="C33" s="36">
        <f>IF(C14=0,0,$B33)+IF(C15=0,0,$B33)+IF(C16=0,0,$B33)</f>
        <v>200000</v>
      </c>
      <c r="D33" s="36">
        <f t="shared" ref="D33:N33" si="104">IF(D14=0,0,$B33)+IF(D15=0,0,$B33)+IF(D16=0,0,$B33)</f>
        <v>100000</v>
      </c>
      <c r="E33" s="36">
        <f t="shared" si="104"/>
        <v>100000</v>
      </c>
      <c r="F33" s="36">
        <f t="shared" si="104"/>
        <v>200000</v>
      </c>
      <c r="G33" s="36">
        <f t="shared" si="104"/>
        <v>200000</v>
      </c>
      <c r="H33" s="36">
        <f t="shared" si="104"/>
        <v>200000</v>
      </c>
      <c r="I33" s="36">
        <f t="shared" si="104"/>
        <v>200000</v>
      </c>
      <c r="J33" s="36">
        <f t="shared" si="104"/>
        <v>200000</v>
      </c>
      <c r="K33" s="36">
        <f t="shared" si="104"/>
        <v>200000</v>
      </c>
      <c r="L33" s="36">
        <f t="shared" si="104"/>
        <v>200000</v>
      </c>
      <c r="M33" s="36">
        <f t="shared" si="104"/>
        <v>200000</v>
      </c>
      <c r="N33" s="36">
        <f t="shared" si="104"/>
        <v>200000</v>
      </c>
      <c r="O33" s="46">
        <f t="shared" ref="O33:O37" si="105">SUM(C33:N33)</f>
        <v>2200000</v>
      </c>
      <c r="P33" s="36">
        <f>IF(P14=0,0,$B33*(1+$B6))+IF(P15=0,0,$B33*(1+$B6))+IF(P16=0,0,$B33*(1+$B6))</f>
        <v>330000</v>
      </c>
      <c r="Q33" s="36">
        <f t="shared" ref="Q33:AA33" si="106">IF(Q14=0,0,$B33*(1+$B6))+IF(Q15=0,0,$B33*(1+$B6))+IF(Q16=0,0,$B33*(1+$B6))</f>
        <v>330000</v>
      </c>
      <c r="R33" s="36">
        <f t="shared" si="106"/>
        <v>330000</v>
      </c>
      <c r="S33" s="36">
        <f t="shared" si="106"/>
        <v>330000</v>
      </c>
      <c r="T33" s="36">
        <f t="shared" si="106"/>
        <v>330000</v>
      </c>
      <c r="U33" s="36">
        <f t="shared" si="106"/>
        <v>330000</v>
      </c>
      <c r="V33" s="36">
        <f t="shared" si="106"/>
        <v>330000</v>
      </c>
      <c r="W33" s="36">
        <f t="shared" si="106"/>
        <v>330000</v>
      </c>
      <c r="X33" s="36">
        <f t="shared" si="106"/>
        <v>330000</v>
      </c>
      <c r="Y33" s="36">
        <f t="shared" si="106"/>
        <v>330000</v>
      </c>
      <c r="Z33" s="36">
        <f t="shared" si="106"/>
        <v>330000</v>
      </c>
      <c r="AA33" s="36">
        <f t="shared" si="106"/>
        <v>330000</v>
      </c>
      <c r="AB33" s="46">
        <f t="shared" ref="AB33:AB37" si="107">SUM(P33:AA33)</f>
        <v>3960000</v>
      </c>
      <c r="AC33" s="36">
        <f>IF(AC14=0,0,$B33*(1+$B6*2))+IF(AC15=0,0,$B33*(1+$B6*2))+IF(AC16=0,0,$B33*(1+$B6*2))</f>
        <v>360000</v>
      </c>
      <c r="AD33" s="36">
        <f t="shared" ref="AD33:AN33" si="108">IF(AD14=0,0,$B33*(1+$B6*2))+IF(AD15=0,0,$B33*(1+$B6*2))+IF(AD16=0,0,$B33*(1+$B6*2))</f>
        <v>360000</v>
      </c>
      <c r="AE33" s="36">
        <f t="shared" si="108"/>
        <v>360000</v>
      </c>
      <c r="AF33" s="36">
        <f t="shared" si="108"/>
        <v>360000</v>
      </c>
      <c r="AG33" s="36">
        <f t="shared" si="108"/>
        <v>360000</v>
      </c>
      <c r="AH33" s="36">
        <f t="shared" si="108"/>
        <v>360000</v>
      </c>
      <c r="AI33" s="36">
        <f t="shared" si="108"/>
        <v>360000</v>
      </c>
      <c r="AJ33" s="36">
        <f t="shared" si="108"/>
        <v>360000</v>
      </c>
      <c r="AK33" s="36">
        <f t="shared" si="108"/>
        <v>360000</v>
      </c>
      <c r="AL33" s="36">
        <f t="shared" si="108"/>
        <v>360000</v>
      </c>
      <c r="AM33" s="36">
        <f t="shared" si="108"/>
        <v>360000</v>
      </c>
      <c r="AN33" s="36">
        <f t="shared" si="108"/>
        <v>360000</v>
      </c>
      <c r="AO33" s="46">
        <f t="shared" ref="AO33:AO37" si="109">SUM(AC33:AN33)</f>
        <v>4320000</v>
      </c>
    </row>
    <row r="34" s="7" customFormat="1" spans="1:41">
      <c r="A34" s="37" t="s">
        <v>47</v>
      </c>
      <c r="B34" s="13">
        <v>50000</v>
      </c>
      <c r="C34" s="36">
        <f>IF(C14=0,0,$B34)+IF(C15=0,0,$B34)+IF(C16=0,0,$B34*2)</f>
        <v>100000</v>
      </c>
      <c r="D34" s="36">
        <f t="shared" ref="D34:N34" si="110">IF(D14=0,0,$B34)+IF(D15=0,0,$B34)+IF(D16=0,0,$B34*2)</f>
        <v>50000</v>
      </c>
      <c r="E34" s="36">
        <f t="shared" si="110"/>
        <v>50000</v>
      </c>
      <c r="F34" s="36">
        <f t="shared" si="110"/>
        <v>100000</v>
      </c>
      <c r="G34" s="36">
        <f t="shared" si="110"/>
        <v>100000</v>
      </c>
      <c r="H34" s="36">
        <f t="shared" si="110"/>
        <v>100000</v>
      </c>
      <c r="I34" s="36">
        <f t="shared" si="110"/>
        <v>100000</v>
      </c>
      <c r="J34" s="36">
        <f t="shared" si="110"/>
        <v>100000</v>
      </c>
      <c r="K34" s="36">
        <f t="shared" si="110"/>
        <v>100000</v>
      </c>
      <c r="L34" s="36">
        <f t="shared" si="110"/>
        <v>100000</v>
      </c>
      <c r="M34" s="36">
        <f t="shared" si="110"/>
        <v>100000</v>
      </c>
      <c r="N34" s="36">
        <f t="shared" si="110"/>
        <v>100000</v>
      </c>
      <c r="O34" s="46">
        <f t="shared" ref="O34" si="111">SUM(C34:N34)</f>
        <v>1100000</v>
      </c>
      <c r="P34" s="36">
        <f>IF(P14=0,0,$B34*(1+$B6))+IF(P15=0,0,$B34*(1+$B6))+IF(P16=0,0,$B34*2*(1+$B6))</f>
        <v>220000</v>
      </c>
      <c r="Q34" s="36">
        <f t="shared" ref="Q34:AA34" si="112">IF(Q14=0,0,$B34*(1+$B6))+IF(Q15=0,0,$B34*(1+$B6))+IF(Q16=0,0,$B34*2*(1+$B6))</f>
        <v>220000</v>
      </c>
      <c r="R34" s="36">
        <f t="shared" si="112"/>
        <v>220000</v>
      </c>
      <c r="S34" s="36">
        <f t="shared" si="112"/>
        <v>220000</v>
      </c>
      <c r="T34" s="36">
        <f t="shared" si="112"/>
        <v>220000</v>
      </c>
      <c r="U34" s="36">
        <f t="shared" si="112"/>
        <v>220000</v>
      </c>
      <c r="V34" s="36">
        <f t="shared" si="112"/>
        <v>220000</v>
      </c>
      <c r="W34" s="36">
        <f t="shared" si="112"/>
        <v>220000</v>
      </c>
      <c r="X34" s="36">
        <f t="shared" si="112"/>
        <v>220000</v>
      </c>
      <c r="Y34" s="36">
        <f t="shared" si="112"/>
        <v>220000</v>
      </c>
      <c r="Z34" s="36">
        <f t="shared" si="112"/>
        <v>220000</v>
      </c>
      <c r="AA34" s="36">
        <f t="shared" si="112"/>
        <v>220000</v>
      </c>
      <c r="AB34" s="46">
        <f t="shared" ref="AB34" si="113">SUM(P34:AA34)</f>
        <v>2640000</v>
      </c>
      <c r="AC34" s="36">
        <f>IF(AC14=0,0,$B34*(1+$B6*2))+IF(AC15=0,0,$B34*(1+$B6*2))+IF(AC16=0,0,$B34*2*(1+$B6*2))</f>
        <v>240000</v>
      </c>
      <c r="AD34" s="36">
        <f t="shared" ref="AD34:AN34" si="114">IF(AD14=0,0,$B34*(1+$B6*2))+IF(AD15=0,0,$B34*(1+$B6*2))+IF(AD16=0,0,$B34*2*(1+$B6*2))</f>
        <v>240000</v>
      </c>
      <c r="AE34" s="36">
        <f t="shared" si="114"/>
        <v>240000</v>
      </c>
      <c r="AF34" s="36">
        <f t="shared" si="114"/>
        <v>240000</v>
      </c>
      <c r="AG34" s="36">
        <f t="shared" si="114"/>
        <v>240000</v>
      </c>
      <c r="AH34" s="36">
        <f t="shared" si="114"/>
        <v>240000</v>
      </c>
      <c r="AI34" s="36">
        <f t="shared" si="114"/>
        <v>240000</v>
      </c>
      <c r="AJ34" s="36">
        <f t="shared" si="114"/>
        <v>240000</v>
      </c>
      <c r="AK34" s="36">
        <f t="shared" si="114"/>
        <v>240000</v>
      </c>
      <c r="AL34" s="36">
        <f t="shared" si="114"/>
        <v>240000</v>
      </c>
      <c r="AM34" s="36">
        <f t="shared" si="114"/>
        <v>240000</v>
      </c>
      <c r="AN34" s="36">
        <f t="shared" si="114"/>
        <v>240000</v>
      </c>
      <c r="AO34" s="46">
        <f t="shared" ref="AO34" si="115">SUM(AC34:AN34)</f>
        <v>2880000</v>
      </c>
    </row>
    <row r="35" s="7" customFormat="1" spans="1:41">
      <c r="A35" s="33" t="s">
        <v>48</v>
      </c>
      <c r="B35" s="33"/>
      <c r="C35" s="34">
        <f>SUM(C36:C39)</f>
        <v>320000</v>
      </c>
      <c r="D35" s="34">
        <f t="shared" ref="D35" si="116">SUM(D36:D39)</f>
        <v>160000</v>
      </c>
      <c r="E35" s="34">
        <f t="shared" ref="E35" si="117">SUM(E36:E39)</f>
        <v>160000</v>
      </c>
      <c r="F35" s="34">
        <f t="shared" ref="F35" si="118">SUM(F36:F39)</f>
        <v>320000</v>
      </c>
      <c r="G35" s="34">
        <f t="shared" ref="G35" si="119">SUM(G36:G39)</f>
        <v>320000</v>
      </c>
      <c r="H35" s="34">
        <f t="shared" ref="H35" si="120">SUM(H36:H39)</f>
        <v>320000</v>
      </c>
      <c r="I35" s="34">
        <f t="shared" ref="I35" si="121">SUM(I36:I39)</f>
        <v>320000</v>
      </c>
      <c r="J35" s="34">
        <f t="shared" ref="J35" si="122">SUM(J36:J39)</f>
        <v>320000</v>
      </c>
      <c r="K35" s="34">
        <f t="shared" ref="K35" si="123">SUM(K36:K39)</f>
        <v>320000</v>
      </c>
      <c r="L35" s="34">
        <f t="shared" ref="L35" si="124">SUM(L36:L39)</f>
        <v>320000</v>
      </c>
      <c r="M35" s="34">
        <f t="shared" ref="M35" si="125">SUM(M36:M39)</f>
        <v>320000</v>
      </c>
      <c r="N35" s="34">
        <f t="shared" ref="N35" si="126">SUM(N36:N39)</f>
        <v>320000</v>
      </c>
      <c r="O35" s="46">
        <f t="shared" si="105"/>
        <v>3520000</v>
      </c>
      <c r="P35" s="34">
        <f>SUM(P36:P39)</f>
        <v>528000</v>
      </c>
      <c r="Q35" s="34">
        <f t="shared" ref="Q35" si="127">SUM(Q36:Q39)</f>
        <v>528000</v>
      </c>
      <c r="R35" s="34">
        <f t="shared" ref="R35" si="128">SUM(R36:R39)</f>
        <v>528000</v>
      </c>
      <c r="S35" s="34">
        <f t="shared" ref="S35" si="129">SUM(S36:S39)</f>
        <v>528000</v>
      </c>
      <c r="T35" s="34">
        <f t="shared" ref="T35" si="130">SUM(T36:T39)</f>
        <v>528000</v>
      </c>
      <c r="U35" s="34">
        <f t="shared" ref="U35" si="131">SUM(U36:U39)</f>
        <v>528000</v>
      </c>
      <c r="V35" s="34">
        <f t="shared" ref="V35" si="132">SUM(V36:V39)</f>
        <v>528000</v>
      </c>
      <c r="W35" s="34">
        <f t="shared" ref="W35" si="133">SUM(W36:W39)</f>
        <v>528000</v>
      </c>
      <c r="X35" s="34">
        <f t="shared" ref="X35" si="134">SUM(X36:X39)</f>
        <v>528000</v>
      </c>
      <c r="Y35" s="34">
        <f t="shared" ref="Y35" si="135">SUM(Y36:Y39)</f>
        <v>528000</v>
      </c>
      <c r="Z35" s="34">
        <f t="shared" ref="Z35" si="136">SUM(Z36:Z39)</f>
        <v>528000</v>
      </c>
      <c r="AA35" s="34">
        <f t="shared" ref="AA35" si="137">SUM(AA36:AA39)</f>
        <v>528000</v>
      </c>
      <c r="AB35" s="46">
        <f t="shared" si="107"/>
        <v>6336000</v>
      </c>
      <c r="AC35" s="34">
        <f>SUM(AC36:AC39)</f>
        <v>576000</v>
      </c>
      <c r="AD35" s="34">
        <f t="shared" ref="AD35" si="138">SUM(AD36:AD39)</f>
        <v>576000</v>
      </c>
      <c r="AE35" s="34">
        <f t="shared" ref="AE35" si="139">SUM(AE36:AE39)</f>
        <v>576000</v>
      </c>
      <c r="AF35" s="34">
        <f t="shared" ref="AF35" si="140">SUM(AF36:AF39)</f>
        <v>576000</v>
      </c>
      <c r="AG35" s="34">
        <f t="shared" ref="AG35" si="141">SUM(AG36:AG39)</f>
        <v>576000</v>
      </c>
      <c r="AH35" s="34">
        <f t="shared" ref="AH35" si="142">SUM(AH36:AH39)</f>
        <v>576000</v>
      </c>
      <c r="AI35" s="34">
        <f t="shared" ref="AI35" si="143">SUM(AI36:AI39)</f>
        <v>576000</v>
      </c>
      <c r="AJ35" s="34">
        <f t="shared" ref="AJ35" si="144">SUM(AJ36:AJ39)</f>
        <v>576000</v>
      </c>
      <c r="AK35" s="34">
        <f t="shared" ref="AK35" si="145">SUM(AK36:AK39)</f>
        <v>576000</v>
      </c>
      <c r="AL35" s="34">
        <f t="shared" ref="AL35" si="146">SUM(AL36:AL39)</f>
        <v>576000</v>
      </c>
      <c r="AM35" s="34">
        <f t="shared" ref="AM35" si="147">SUM(AM36:AM39)</f>
        <v>576000</v>
      </c>
      <c r="AN35" s="34">
        <f t="shared" ref="AN35" si="148">SUM(AN36:AN39)</f>
        <v>576000</v>
      </c>
      <c r="AO35" s="46">
        <f t="shared" si="109"/>
        <v>6912000</v>
      </c>
    </row>
    <row r="36" s="7" customFormat="1" spans="1:41">
      <c r="A36" s="35" t="s">
        <v>49</v>
      </c>
      <c r="B36" s="13">
        <v>40000</v>
      </c>
      <c r="C36" s="36">
        <f>IF(C14=0,0,$B36)+IF(C15=0,0,$B36)+IF(C16=0,0,$B36)</f>
        <v>80000</v>
      </c>
      <c r="D36" s="36">
        <f t="shared" ref="D36:N36" si="149">IF(D14=0,0,$B36)+IF(D15=0,0,$B36)+IF(D16=0,0,$B36)</f>
        <v>40000</v>
      </c>
      <c r="E36" s="36">
        <f t="shared" si="149"/>
        <v>40000</v>
      </c>
      <c r="F36" s="36">
        <f t="shared" si="149"/>
        <v>80000</v>
      </c>
      <c r="G36" s="36">
        <f t="shared" si="149"/>
        <v>80000</v>
      </c>
      <c r="H36" s="36">
        <f t="shared" si="149"/>
        <v>80000</v>
      </c>
      <c r="I36" s="36">
        <f t="shared" si="149"/>
        <v>80000</v>
      </c>
      <c r="J36" s="36">
        <f t="shared" si="149"/>
        <v>80000</v>
      </c>
      <c r="K36" s="36">
        <f t="shared" si="149"/>
        <v>80000</v>
      </c>
      <c r="L36" s="36">
        <f t="shared" si="149"/>
        <v>80000</v>
      </c>
      <c r="M36" s="36">
        <f t="shared" si="149"/>
        <v>80000</v>
      </c>
      <c r="N36" s="36">
        <f t="shared" si="149"/>
        <v>80000</v>
      </c>
      <c r="O36" s="46">
        <f t="shared" si="105"/>
        <v>880000</v>
      </c>
      <c r="P36" s="36">
        <f>IF(P14=0,0,$B36*(1+$B6))+IF(P15=0,0,$B36*(1+$B6))+IF(P16=0,0,$B36*(1+$B6))</f>
        <v>132000</v>
      </c>
      <c r="Q36" s="36">
        <f t="shared" ref="Q36:AA36" si="150">IF(Q14=0,0,$B36*(1+$B6))+IF(Q15=0,0,$B36*(1+$B6))+IF(Q16=0,0,$B36*(1+$B6))</f>
        <v>132000</v>
      </c>
      <c r="R36" s="36">
        <f t="shared" si="150"/>
        <v>132000</v>
      </c>
      <c r="S36" s="36">
        <f t="shared" si="150"/>
        <v>132000</v>
      </c>
      <c r="T36" s="36">
        <f t="shared" si="150"/>
        <v>132000</v>
      </c>
      <c r="U36" s="36">
        <f t="shared" si="150"/>
        <v>132000</v>
      </c>
      <c r="V36" s="36">
        <f t="shared" si="150"/>
        <v>132000</v>
      </c>
      <c r="W36" s="36">
        <f t="shared" si="150"/>
        <v>132000</v>
      </c>
      <c r="X36" s="36">
        <f t="shared" si="150"/>
        <v>132000</v>
      </c>
      <c r="Y36" s="36">
        <f t="shared" si="150"/>
        <v>132000</v>
      </c>
      <c r="Z36" s="36">
        <f t="shared" si="150"/>
        <v>132000</v>
      </c>
      <c r="AA36" s="36">
        <f t="shared" si="150"/>
        <v>132000</v>
      </c>
      <c r="AB36" s="46">
        <f t="shared" si="107"/>
        <v>1584000</v>
      </c>
      <c r="AC36" s="36">
        <f>IF(AC14=0,0,$B36*(1+$B6*2))+IF(AC15=0,0,$B36*(1+$B6*2))+IF(AC16=0,0,$B36*(1+$B6*2))</f>
        <v>144000</v>
      </c>
      <c r="AD36" s="36">
        <f t="shared" ref="AD36:AN36" si="151">IF(AD14=0,0,$B36*(1+$B6*2))+IF(AD15=0,0,$B36*(1+$B6*2))+IF(AD16=0,0,$B36*(1+$B6*2))</f>
        <v>144000</v>
      </c>
      <c r="AE36" s="36">
        <f t="shared" si="151"/>
        <v>144000</v>
      </c>
      <c r="AF36" s="36">
        <f t="shared" si="151"/>
        <v>144000</v>
      </c>
      <c r="AG36" s="36">
        <f t="shared" si="151"/>
        <v>144000</v>
      </c>
      <c r="AH36" s="36">
        <f t="shared" si="151"/>
        <v>144000</v>
      </c>
      <c r="AI36" s="36">
        <f t="shared" si="151"/>
        <v>144000</v>
      </c>
      <c r="AJ36" s="36">
        <f t="shared" si="151"/>
        <v>144000</v>
      </c>
      <c r="AK36" s="36">
        <f t="shared" si="151"/>
        <v>144000</v>
      </c>
      <c r="AL36" s="36">
        <f t="shared" si="151"/>
        <v>144000</v>
      </c>
      <c r="AM36" s="36">
        <f t="shared" si="151"/>
        <v>144000</v>
      </c>
      <c r="AN36" s="36">
        <f t="shared" si="151"/>
        <v>144000</v>
      </c>
      <c r="AO36" s="46">
        <f t="shared" si="109"/>
        <v>1728000</v>
      </c>
    </row>
    <row r="37" s="7" customFormat="1" spans="1:41">
      <c r="A37" s="35" t="s">
        <v>50</v>
      </c>
      <c r="B37" s="13">
        <v>60000</v>
      </c>
      <c r="C37" s="36">
        <f>IF(C14=0,0,$B37)+IF(C15=0,0,$B37)+IF(C16=0,0,$B37)</f>
        <v>120000</v>
      </c>
      <c r="D37" s="36">
        <f t="shared" ref="D37:N37" si="152">IF(D14=0,0,$B37)+IF(D15=0,0,$B37)+IF(D16=0,0,$B37)</f>
        <v>60000</v>
      </c>
      <c r="E37" s="36">
        <f t="shared" si="152"/>
        <v>60000</v>
      </c>
      <c r="F37" s="36">
        <f t="shared" si="152"/>
        <v>120000</v>
      </c>
      <c r="G37" s="36">
        <f t="shared" si="152"/>
        <v>120000</v>
      </c>
      <c r="H37" s="36">
        <f t="shared" si="152"/>
        <v>120000</v>
      </c>
      <c r="I37" s="36">
        <f t="shared" si="152"/>
        <v>120000</v>
      </c>
      <c r="J37" s="36">
        <f t="shared" si="152"/>
        <v>120000</v>
      </c>
      <c r="K37" s="36">
        <f t="shared" si="152"/>
        <v>120000</v>
      </c>
      <c r="L37" s="36">
        <f t="shared" si="152"/>
        <v>120000</v>
      </c>
      <c r="M37" s="36">
        <f t="shared" si="152"/>
        <v>120000</v>
      </c>
      <c r="N37" s="36">
        <f t="shared" si="152"/>
        <v>120000</v>
      </c>
      <c r="O37" s="46">
        <f t="shared" si="105"/>
        <v>1320000</v>
      </c>
      <c r="P37" s="36">
        <f>IF(P14=0,0,$B37*(1+$B6))+IF(P15=0,0,$B37*(1+$B6))+IF(P16=0,0,$B37*(1+$B6))</f>
        <v>198000</v>
      </c>
      <c r="Q37" s="36">
        <f t="shared" ref="Q37:AA37" si="153">IF(Q14=0,0,$B37*(1+$B6))+IF(Q15=0,0,$B37*(1+$B6))+IF(Q16=0,0,$B37*(1+$B6))</f>
        <v>198000</v>
      </c>
      <c r="R37" s="36">
        <f t="shared" si="153"/>
        <v>198000</v>
      </c>
      <c r="S37" s="36">
        <f t="shared" si="153"/>
        <v>198000</v>
      </c>
      <c r="T37" s="36">
        <f t="shared" si="153"/>
        <v>198000</v>
      </c>
      <c r="U37" s="36">
        <f t="shared" si="153"/>
        <v>198000</v>
      </c>
      <c r="V37" s="36">
        <f t="shared" si="153"/>
        <v>198000</v>
      </c>
      <c r="W37" s="36">
        <f t="shared" si="153"/>
        <v>198000</v>
      </c>
      <c r="X37" s="36">
        <f t="shared" si="153"/>
        <v>198000</v>
      </c>
      <c r="Y37" s="36">
        <f t="shared" si="153"/>
        <v>198000</v>
      </c>
      <c r="Z37" s="36">
        <f t="shared" si="153"/>
        <v>198000</v>
      </c>
      <c r="AA37" s="36">
        <f t="shared" si="153"/>
        <v>198000</v>
      </c>
      <c r="AB37" s="46">
        <f t="shared" si="107"/>
        <v>2376000</v>
      </c>
      <c r="AC37" s="36">
        <f>IF(AC14=0,0,$B37*(1+$B6*2))+IF(AC15=0,0,$B37*(1+$B6*2))+IF(AC16=0,0,$B37*(1+$B6*2))</f>
        <v>216000</v>
      </c>
      <c r="AD37" s="36">
        <f t="shared" ref="AD37:AN37" si="154">IF(AD14=0,0,$B37*(1+$B6*2))+IF(AD15=0,0,$B37*(1+$B6*2))+IF(AD16=0,0,$B37*(1+$B6*2))</f>
        <v>216000</v>
      </c>
      <c r="AE37" s="36">
        <f t="shared" si="154"/>
        <v>216000</v>
      </c>
      <c r="AF37" s="36">
        <f t="shared" si="154"/>
        <v>216000</v>
      </c>
      <c r="AG37" s="36">
        <f t="shared" si="154"/>
        <v>216000</v>
      </c>
      <c r="AH37" s="36">
        <f t="shared" si="154"/>
        <v>216000</v>
      </c>
      <c r="AI37" s="36">
        <f t="shared" si="154"/>
        <v>216000</v>
      </c>
      <c r="AJ37" s="36">
        <f t="shared" si="154"/>
        <v>216000</v>
      </c>
      <c r="AK37" s="36">
        <f t="shared" si="154"/>
        <v>216000</v>
      </c>
      <c r="AL37" s="36">
        <f t="shared" si="154"/>
        <v>216000</v>
      </c>
      <c r="AM37" s="36">
        <f t="shared" si="154"/>
        <v>216000</v>
      </c>
      <c r="AN37" s="36">
        <f t="shared" si="154"/>
        <v>216000</v>
      </c>
      <c r="AO37" s="46">
        <f t="shared" si="109"/>
        <v>2592000</v>
      </c>
    </row>
    <row r="38" s="7" customFormat="1" spans="1:41">
      <c r="A38" s="35" t="s">
        <v>51</v>
      </c>
      <c r="B38" s="13">
        <v>50000</v>
      </c>
      <c r="C38" s="36">
        <f>IF(C14=0,0,$B38)+IF(C15=0,0,$B38)+IF(C16=0,0,$B38)</f>
        <v>100000</v>
      </c>
      <c r="D38" s="36">
        <f t="shared" ref="D38:N38" si="155">IF(D14=0,0,$B38)+IF(D15=0,0,$B38)+IF(D16=0,0,$B38)</f>
        <v>50000</v>
      </c>
      <c r="E38" s="36">
        <f t="shared" si="155"/>
        <v>50000</v>
      </c>
      <c r="F38" s="36">
        <f t="shared" si="155"/>
        <v>100000</v>
      </c>
      <c r="G38" s="36">
        <f t="shared" si="155"/>
        <v>100000</v>
      </c>
      <c r="H38" s="36">
        <f t="shared" si="155"/>
        <v>100000</v>
      </c>
      <c r="I38" s="36">
        <f t="shared" si="155"/>
        <v>100000</v>
      </c>
      <c r="J38" s="36">
        <f t="shared" si="155"/>
        <v>100000</v>
      </c>
      <c r="K38" s="36">
        <f t="shared" si="155"/>
        <v>100000</v>
      </c>
      <c r="L38" s="36">
        <f t="shared" si="155"/>
        <v>100000</v>
      </c>
      <c r="M38" s="36">
        <f t="shared" si="155"/>
        <v>100000</v>
      </c>
      <c r="N38" s="36">
        <f t="shared" si="155"/>
        <v>100000</v>
      </c>
      <c r="O38" s="46">
        <f t="shared" ref="O38:O39" si="156">SUM(C38:N38)</f>
        <v>1100000</v>
      </c>
      <c r="P38" s="36">
        <f>IF(P14=0,0,$B38*(1+$B6))+IF(P15=0,0,$B38*(1+$B6))+IF(P16=0,0,$B38*(1+$B6))</f>
        <v>165000</v>
      </c>
      <c r="Q38" s="36">
        <f t="shared" ref="Q38:AA38" si="157">IF(Q14=0,0,$B38*(1+$B6))+IF(Q15=0,0,$B38*(1+$B6))+IF(Q16=0,0,$B38*(1+$B6))</f>
        <v>165000</v>
      </c>
      <c r="R38" s="36">
        <f t="shared" si="157"/>
        <v>165000</v>
      </c>
      <c r="S38" s="36">
        <f t="shared" si="157"/>
        <v>165000</v>
      </c>
      <c r="T38" s="36">
        <f t="shared" si="157"/>
        <v>165000</v>
      </c>
      <c r="U38" s="36">
        <f t="shared" si="157"/>
        <v>165000</v>
      </c>
      <c r="V38" s="36">
        <f t="shared" si="157"/>
        <v>165000</v>
      </c>
      <c r="W38" s="36">
        <f t="shared" si="157"/>
        <v>165000</v>
      </c>
      <c r="X38" s="36">
        <f t="shared" si="157"/>
        <v>165000</v>
      </c>
      <c r="Y38" s="36">
        <f t="shared" si="157"/>
        <v>165000</v>
      </c>
      <c r="Z38" s="36">
        <f t="shared" si="157"/>
        <v>165000</v>
      </c>
      <c r="AA38" s="36">
        <f t="shared" si="157"/>
        <v>165000</v>
      </c>
      <c r="AB38" s="46">
        <f t="shared" ref="AB38:AB39" si="158">SUM(P38:AA38)</f>
        <v>1980000</v>
      </c>
      <c r="AC38" s="36">
        <f>IF(AC14=0,0,$B38*(1+$B6*2))+IF(AC15=0,0,$B38*(1+$B6*2))+IF(AC16=0,0,$B38*(1+$B6*2))</f>
        <v>180000</v>
      </c>
      <c r="AD38" s="36">
        <f t="shared" ref="AD38:AN38" si="159">IF(AD14=0,0,$B38*(1+$B6*2))+IF(AD15=0,0,$B38*(1+$B6*2))+IF(AD16=0,0,$B38*(1+$B6*2))</f>
        <v>180000</v>
      </c>
      <c r="AE38" s="36">
        <f t="shared" si="159"/>
        <v>180000</v>
      </c>
      <c r="AF38" s="36">
        <f t="shared" si="159"/>
        <v>180000</v>
      </c>
      <c r="AG38" s="36">
        <f t="shared" si="159"/>
        <v>180000</v>
      </c>
      <c r="AH38" s="36">
        <f t="shared" si="159"/>
        <v>180000</v>
      </c>
      <c r="AI38" s="36">
        <f t="shared" si="159"/>
        <v>180000</v>
      </c>
      <c r="AJ38" s="36">
        <f t="shared" si="159"/>
        <v>180000</v>
      </c>
      <c r="AK38" s="36">
        <f t="shared" si="159"/>
        <v>180000</v>
      </c>
      <c r="AL38" s="36">
        <f t="shared" si="159"/>
        <v>180000</v>
      </c>
      <c r="AM38" s="36">
        <f t="shared" si="159"/>
        <v>180000</v>
      </c>
      <c r="AN38" s="36">
        <f t="shared" si="159"/>
        <v>180000</v>
      </c>
      <c r="AO38" s="46">
        <f t="shared" ref="AO38:AO39" si="160">SUM(AC38:AN38)</f>
        <v>2160000</v>
      </c>
    </row>
    <row r="39" s="7" customFormat="1" spans="1:41">
      <c r="A39" s="35" t="s">
        <v>52</v>
      </c>
      <c r="B39" s="13">
        <v>10000</v>
      </c>
      <c r="C39" s="36">
        <f>IF(C14=0,0,$B39)+IF(C15=0,0,$B39)+IF(C16=0,0,$B39)</f>
        <v>20000</v>
      </c>
      <c r="D39" s="36">
        <f t="shared" ref="D39:N39" si="161">IF(D14=0,0,$B39)+IF(D15=0,0,$B39)+IF(D16=0,0,$B39)</f>
        <v>10000</v>
      </c>
      <c r="E39" s="36">
        <f t="shared" si="161"/>
        <v>10000</v>
      </c>
      <c r="F39" s="36">
        <f t="shared" si="161"/>
        <v>20000</v>
      </c>
      <c r="G39" s="36">
        <f t="shared" si="161"/>
        <v>20000</v>
      </c>
      <c r="H39" s="36">
        <f t="shared" si="161"/>
        <v>20000</v>
      </c>
      <c r="I39" s="36">
        <f t="shared" si="161"/>
        <v>20000</v>
      </c>
      <c r="J39" s="36">
        <f t="shared" si="161"/>
        <v>20000</v>
      </c>
      <c r="K39" s="36">
        <f t="shared" si="161"/>
        <v>20000</v>
      </c>
      <c r="L39" s="36">
        <f t="shared" si="161"/>
        <v>20000</v>
      </c>
      <c r="M39" s="36">
        <f t="shared" si="161"/>
        <v>20000</v>
      </c>
      <c r="N39" s="36">
        <f t="shared" si="161"/>
        <v>20000</v>
      </c>
      <c r="O39" s="46">
        <f t="shared" si="156"/>
        <v>220000</v>
      </c>
      <c r="P39" s="36">
        <f>IF(P14=0,0,$B39*(1+$B6))+IF(P15=0,0,$B39*(1+$B6))+IF(P16=0,0,$B39*(1+$B6))</f>
        <v>33000</v>
      </c>
      <c r="Q39" s="36">
        <f t="shared" ref="Q39:AA39" si="162">IF(Q14=0,0,$B39*(1+$B6))+IF(Q15=0,0,$B39*(1+$B6))+IF(Q16=0,0,$B39*(1+$B6))</f>
        <v>33000</v>
      </c>
      <c r="R39" s="36">
        <f t="shared" si="162"/>
        <v>33000</v>
      </c>
      <c r="S39" s="36">
        <f t="shared" si="162"/>
        <v>33000</v>
      </c>
      <c r="T39" s="36">
        <f t="shared" si="162"/>
        <v>33000</v>
      </c>
      <c r="U39" s="36">
        <f t="shared" si="162"/>
        <v>33000</v>
      </c>
      <c r="V39" s="36">
        <f t="shared" si="162"/>
        <v>33000</v>
      </c>
      <c r="W39" s="36">
        <f t="shared" si="162"/>
        <v>33000</v>
      </c>
      <c r="X39" s="36">
        <f t="shared" si="162"/>
        <v>33000</v>
      </c>
      <c r="Y39" s="36">
        <f t="shared" si="162"/>
        <v>33000</v>
      </c>
      <c r="Z39" s="36">
        <f t="shared" si="162"/>
        <v>33000</v>
      </c>
      <c r="AA39" s="36">
        <f t="shared" si="162"/>
        <v>33000</v>
      </c>
      <c r="AB39" s="46">
        <f t="shared" si="158"/>
        <v>396000</v>
      </c>
      <c r="AC39" s="36">
        <f>IF(AC14=0,0,$B39*(1+$B6*2))+IF(AC15=0,0,$B39*(1+$B6*2))+IF(AC16=0,0,$B39*(1+$B6*2))</f>
        <v>36000</v>
      </c>
      <c r="AD39" s="36">
        <f t="shared" ref="AD39:AN39" si="163">IF(AD14=0,0,$B39*(1+$B6*2))+IF(AD15=0,0,$B39*(1+$B6*2))+IF(AD16=0,0,$B39*(1+$B6*2))</f>
        <v>36000</v>
      </c>
      <c r="AE39" s="36">
        <f t="shared" si="163"/>
        <v>36000</v>
      </c>
      <c r="AF39" s="36">
        <f t="shared" si="163"/>
        <v>36000</v>
      </c>
      <c r="AG39" s="36">
        <f t="shared" si="163"/>
        <v>36000</v>
      </c>
      <c r="AH39" s="36">
        <f t="shared" si="163"/>
        <v>36000</v>
      </c>
      <c r="AI39" s="36">
        <f t="shared" si="163"/>
        <v>36000</v>
      </c>
      <c r="AJ39" s="36">
        <f t="shared" si="163"/>
        <v>36000</v>
      </c>
      <c r="AK39" s="36">
        <f t="shared" si="163"/>
        <v>36000</v>
      </c>
      <c r="AL39" s="36">
        <f t="shared" si="163"/>
        <v>36000</v>
      </c>
      <c r="AM39" s="36">
        <f t="shared" si="163"/>
        <v>36000</v>
      </c>
      <c r="AN39" s="36">
        <f t="shared" si="163"/>
        <v>36000</v>
      </c>
      <c r="AO39" s="46">
        <f t="shared" si="160"/>
        <v>432000</v>
      </c>
    </row>
    <row r="40" s="7" customFormat="1" spans="1:41">
      <c r="A40" s="32" t="s">
        <v>53</v>
      </c>
      <c r="B40" s="33"/>
      <c r="C40" s="30">
        <f t="shared" ref="C40:N40" si="164">C13*$H3</f>
        <v>236250</v>
      </c>
      <c r="D40" s="30">
        <f t="shared" si="164"/>
        <v>315000</v>
      </c>
      <c r="E40" s="30">
        <f t="shared" si="164"/>
        <v>420000</v>
      </c>
      <c r="F40" s="30">
        <f t="shared" si="164"/>
        <v>1050000</v>
      </c>
      <c r="G40" s="30">
        <f t="shared" si="164"/>
        <v>1260000</v>
      </c>
      <c r="H40" s="30">
        <f t="shared" si="164"/>
        <v>1470000</v>
      </c>
      <c r="I40" s="30">
        <f t="shared" si="164"/>
        <v>1680000</v>
      </c>
      <c r="J40" s="30">
        <f t="shared" si="164"/>
        <v>1890000</v>
      </c>
      <c r="K40" s="30">
        <f t="shared" si="164"/>
        <v>2100000</v>
      </c>
      <c r="L40" s="30">
        <f t="shared" si="164"/>
        <v>2310000</v>
      </c>
      <c r="M40" s="30">
        <f t="shared" si="164"/>
        <v>2520000</v>
      </c>
      <c r="N40" s="30">
        <f t="shared" si="164"/>
        <v>2520000</v>
      </c>
      <c r="O40" s="46">
        <f t="shared" si="7"/>
        <v>17771250</v>
      </c>
      <c r="P40" s="30">
        <f t="shared" ref="P40:AA40" si="165">P13*$H3</f>
        <v>5776155</v>
      </c>
      <c r="Q40" s="30">
        <f t="shared" si="165"/>
        <v>5776155</v>
      </c>
      <c r="R40" s="30">
        <f t="shared" si="165"/>
        <v>5776155</v>
      </c>
      <c r="S40" s="30">
        <f t="shared" si="165"/>
        <v>5776155</v>
      </c>
      <c r="T40" s="30">
        <f t="shared" si="165"/>
        <v>5776155</v>
      </c>
      <c r="U40" s="30">
        <f t="shared" si="165"/>
        <v>5776155</v>
      </c>
      <c r="V40" s="30">
        <f t="shared" si="165"/>
        <v>5776155</v>
      </c>
      <c r="W40" s="30">
        <f t="shared" si="165"/>
        <v>5776155</v>
      </c>
      <c r="X40" s="30">
        <f t="shared" si="165"/>
        <v>5776155</v>
      </c>
      <c r="Y40" s="30">
        <f t="shared" si="165"/>
        <v>5776155</v>
      </c>
      <c r="Z40" s="30">
        <f t="shared" si="165"/>
        <v>5776155</v>
      </c>
      <c r="AA40" s="30">
        <f t="shared" si="165"/>
        <v>5776155</v>
      </c>
      <c r="AB40" s="46">
        <f t="shared" si="9"/>
        <v>69313860</v>
      </c>
      <c r="AC40" s="30">
        <f t="shared" ref="AC40:AN40" si="166">AC13*$H3</f>
        <v>6301260</v>
      </c>
      <c r="AD40" s="30">
        <f t="shared" si="166"/>
        <v>6301260</v>
      </c>
      <c r="AE40" s="30">
        <f t="shared" si="166"/>
        <v>6301260</v>
      </c>
      <c r="AF40" s="30">
        <f t="shared" si="166"/>
        <v>6301260</v>
      </c>
      <c r="AG40" s="30">
        <f t="shared" si="166"/>
        <v>6301260</v>
      </c>
      <c r="AH40" s="30">
        <f t="shared" si="166"/>
        <v>6301260</v>
      </c>
      <c r="AI40" s="30">
        <f t="shared" si="166"/>
        <v>6301260</v>
      </c>
      <c r="AJ40" s="30">
        <f t="shared" si="166"/>
        <v>6301260</v>
      </c>
      <c r="AK40" s="30">
        <f t="shared" si="166"/>
        <v>6301260</v>
      </c>
      <c r="AL40" s="30">
        <f t="shared" si="166"/>
        <v>6301260</v>
      </c>
      <c r="AM40" s="30">
        <f t="shared" si="166"/>
        <v>6301260</v>
      </c>
      <c r="AN40" s="30">
        <f t="shared" si="166"/>
        <v>6301260</v>
      </c>
      <c r="AO40" s="46">
        <f t="shared" si="11"/>
        <v>75615120</v>
      </c>
    </row>
    <row r="41" s="7" customFormat="1" spans="1:41">
      <c r="A41" s="32" t="s">
        <v>54</v>
      </c>
      <c r="B41" s="33"/>
      <c r="C41" s="30">
        <f t="shared" ref="C41:N41" si="167">C13*$H4</f>
        <v>94500</v>
      </c>
      <c r="D41" s="30">
        <f t="shared" si="167"/>
        <v>126000</v>
      </c>
      <c r="E41" s="30">
        <f t="shared" si="167"/>
        <v>168000</v>
      </c>
      <c r="F41" s="30">
        <f t="shared" si="167"/>
        <v>420000</v>
      </c>
      <c r="G41" s="30">
        <f t="shared" si="167"/>
        <v>504000</v>
      </c>
      <c r="H41" s="30">
        <f t="shared" si="167"/>
        <v>588000</v>
      </c>
      <c r="I41" s="30">
        <f t="shared" si="167"/>
        <v>672000</v>
      </c>
      <c r="J41" s="30">
        <f t="shared" si="167"/>
        <v>756000</v>
      </c>
      <c r="K41" s="30">
        <f t="shared" si="167"/>
        <v>840000</v>
      </c>
      <c r="L41" s="30">
        <f t="shared" si="167"/>
        <v>924000</v>
      </c>
      <c r="M41" s="30">
        <f t="shared" si="167"/>
        <v>1008000</v>
      </c>
      <c r="N41" s="30">
        <f t="shared" si="167"/>
        <v>1008000</v>
      </c>
      <c r="O41" s="46">
        <f t="shared" si="7"/>
        <v>7108500</v>
      </c>
      <c r="P41" s="30">
        <f t="shared" ref="P41:AA41" si="168">P13*$H4</f>
        <v>2310462</v>
      </c>
      <c r="Q41" s="30">
        <f t="shared" si="168"/>
        <v>2310462</v>
      </c>
      <c r="R41" s="30">
        <f t="shared" si="168"/>
        <v>2310462</v>
      </c>
      <c r="S41" s="30">
        <f t="shared" si="168"/>
        <v>2310462</v>
      </c>
      <c r="T41" s="30">
        <f t="shared" si="168"/>
        <v>2310462</v>
      </c>
      <c r="U41" s="30">
        <f t="shared" si="168"/>
        <v>2310462</v>
      </c>
      <c r="V41" s="30">
        <f t="shared" si="168"/>
        <v>2310462</v>
      </c>
      <c r="W41" s="30">
        <f t="shared" si="168"/>
        <v>2310462</v>
      </c>
      <c r="X41" s="30">
        <f t="shared" si="168"/>
        <v>2310462</v>
      </c>
      <c r="Y41" s="30">
        <f t="shared" si="168"/>
        <v>2310462</v>
      </c>
      <c r="Z41" s="30">
        <f t="shared" si="168"/>
        <v>2310462</v>
      </c>
      <c r="AA41" s="30">
        <f t="shared" si="168"/>
        <v>2310462</v>
      </c>
      <c r="AB41" s="46">
        <f t="shared" si="9"/>
        <v>27725544</v>
      </c>
      <c r="AC41" s="30">
        <f t="shared" ref="AC41:AN41" si="169">AC13*$H4</f>
        <v>2520504</v>
      </c>
      <c r="AD41" s="30">
        <f t="shared" si="169"/>
        <v>2520504</v>
      </c>
      <c r="AE41" s="30">
        <f t="shared" si="169"/>
        <v>2520504</v>
      </c>
      <c r="AF41" s="30">
        <f t="shared" si="169"/>
        <v>2520504</v>
      </c>
      <c r="AG41" s="30">
        <f t="shared" si="169"/>
        <v>2520504</v>
      </c>
      <c r="AH41" s="30">
        <f t="shared" si="169"/>
        <v>2520504</v>
      </c>
      <c r="AI41" s="30">
        <f t="shared" si="169"/>
        <v>2520504</v>
      </c>
      <c r="AJ41" s="30">
        <f t="shared" si="169"/>
        <v>2520504</v>
      </c>
      <c r="AK41" s="30">
        <f t="shared" si="169"/>
        <v>2520504</v>
      </c>
      <c r="AL41" s="30">
        <f t="shared" si="169"/>
        <v>2520504</v>
      </c>
      <c r="AM41" s="30">
        <f t="shared" si="169"/>
        <v>2520504</v>
      </c>
      <c r="AN41" s="30">
        <f t="shared" si="169"/>
        <v>2520504</v>
      </c>
      <c r="AO41" s="46">
        <f t="shared" si="11"/>
        <v>30246048</v>
      </c>
    </row>
    <row r="42" s="7" customFormat="1" spans="1:41">
      <c r="A42" s="37" t="s">
        <v>55</v>
      </c>
      <c r="B42" s="13">
        <v>400000</v>
      </c>
      <c r="C42" s="36">
        <f>B42</f>
        <v>400000</v>
      </c>
      <c r="D42" s="36">
        <f>C42</f>
        <v>400000</v>
      </c>
      <c r="E42" s="36">
        <f t="shared" ref="E42:N43" si="170">D42</f>
        <v>400000</v>
      </c>
      <c r="F42" s="36">
        <f t="shared" si="170"/>
        <v>400000</v>
      </c>
      <c r="G42" s="36">
        <f t="shared" si="170"/>
        <v>400000</v>
      </c>
      <c r="H42" s="36">
        <f t="shared" si="170"/>
        <v>400000</v>
      </c>
      <c r="I42" s="36">
        <f t="shared" si="170"/>
        <v>400000</v>
      </c>
      <c r="J42" s="36">
        <f t="shared" si="170"/>
        <v>400000</v>
      </c>
      <c r="K42" s="36">
        <f t="shared" si="170"/>
        <v>400000</v>
      </c>
      <c r="L42" s="36">
        <f t="shared" si="170"/>
        <v>400000</v>
      </c>
      <c r="M42" s="36">
        <f t="shared" si="170"/>
        <v>400000</v>
      </c>
      <c r="N42" s="36">
        <f t="shared" si="170"/>
        <v>400000</v>
      </c>
      <c r="O42" s="46">
        <f t="shared" si="7"/>
        <v>4800000</v>
      </c>
      <c r="P42" s="36">
        <f t="shared" ref="P42:AA43" si="171">C42*(1+$B12)</f>
        <v>400000</v>
      </c>
      <c r="Q42" s="36">
        <f t="shared" si="171"/>
        <v>400000</v>
      </c>
      <c r="R42" s="36">
        <f t="shared" si="171"/>
        <v>400000</v>
      </c>
      <c r="S42" s="36">
        <f t="shared" si="171"/>
        <v>400000</v>
      </c>
      <c r="T42" s="36">
        <f t="shared" si="171"/>
        <v>400000</v>
      </c>
      <c r="U42" s="36">
        <f t="shared" si="171"/>
        <v>400000</v>
      </c>
      <c r="V42" s="36">
        <f t="shared" si="171"/>
        <v>400000</v>
      </c>
      <c r="W42" s="36">
        <f t="shared" si="171"/>
        <v>400000</v>
      </c>
      <c r="X42" s="36">
        <f t="shared" si="171"/>
        <v>400000</v>
      </c>
      <c r="Y42" s="36">
        <f t="shared" si="171"/>
        <v>400000</v>
      </c>
      <c r="Z42" s="36">
        <f t="shared" si="171"/>
        <v>400000</v>
      </c>
      <c r="AA42" s="36">
        <f t="shared" si="171"/>
        <v>400000</v>
      </c>
      <c r="AB42" s="46">
        <f t="shared" ref="AB42" si="172">SUM(P42:AA42)</f>
        <v>4800000</v>
      </c>
      <c r="AC42" s="36">
        <f t="shared" ref="AC42:AN43" si="173">P42*(1+$B12)</f>
        <v>400000</v>
      </c>
      <c r="AD42" s="36">
        <f t="shared" si="173"/>
        <v>400000</v>
      </c>
      <c r="AE42" s="36">
        <f t="shared" si="173"/>
        <v>400000</v>
      </c>
      <c r="AF42" s="36">
        <f t="shared" si="173"/>
        <v>400000</v>
      </c>
      <c r="AG42" s="36">
        <f t="shared" si="173"/>
        <v>400000</v>
      </c>
      <c r="AH42" s="36">
        <f t="shared" si="173"/>
        <v>400000</v>
      </c>
      <c r="AI42" s="36">
        <f t="shared" si="173"/>
        <v>400000</v>
      </c>
      <c r="AJ42" s="36">
        <f t="shared" si="173"/>
        <v>400000</v>
      </c>
      <c r="AK42" s="36">
        <f t="shared" si="173"/>
        <v>400000</v>
      </c>
      <c r="AL42" s="36">
        <f t="shared" si="173"/>
        <v>400000</v>
      </c>
      <c r="AM42" s="36">
        <f t="shared" si="173"/>
        <v>400000</v>
      </c>
      <c r="AN42" s="36">
        <f t="shared" si="173"/>
        <v>400000</v>
      </c>
      <c r="AO42" s="46">
        <f t="shared" ref="AO42" si="174">SUM(AC42:AN42)</f>
        <v>4800000</v>
      </c>
    </row>
    <row r="43" s="7" customFormat="1" spans="1:41">
      <c r="A43" s="37" t="s">
        <v>56</v>
      </c>
      <c r="B43" s="13">
        <v>200000</v>
      </c>
      <c r="C43" s="36">
        <f>B43</f>
        <v>200000</v>
      </c>
      <c r="D43" s="36">
        <f>C43</f>
        <v>200000</v>
      </c>
      <c r="E43" s="36">
        <f t="shared" si="170"/>
        <v>200000</v>
      </c>
      <c r="F43" s="36">
        <f t="shared" si="170"/>
        <v>200000</v>
      </c>
      <c r="G43" s="36">
        <f t="shared" si="170"/>
        <v>200000</v>
      </c>
      <c r="H43" s="36">
        <f t="shared" si="170"/>
        <v>200000</v>
      </c>
      <c r="I43" s="36">
        <f t="shared" si="170"/>
        <v>200000</v>
      </c>
      <c r="J43" s="36">
        <f t="shared" si="170"/>
        <v>200000</v>
      </c>
      <c r="K43" s="36">
        <f t="shared" si="170"/>
        <v>200000</v>
      </c>
      <c r="L43" s="36">
        <f t="shared" si="170"/>
        <v>200000</v>
      </c>
      <c r="M43" s="36">
        <f t="shared" si="170"/>
        <v>200000</v>
      </c>
      <c r="N43" s="36">
        <f t="shared" si="170"/>
        <v>200000</v>
      </c>
      <c r="O43" s="46">
        <f t="shared" ref="O43" si="175">SUM(C43:N43)</f>
        <v>2400000</v>
      </c>
      <c r="P43" s="36">
        <f t="shared" si="171"/>
        <v>200000</v>
      </c>
      <c r="Q43" s="36">
        <f t="shared" si="171"/>
        <v>200000</v>
      </c>
      <c r="R43" s="36">
        <f t="shared" si="171"/>
        <v>200000</v>
      </c>
      <c r="S43" s="36">
        <f t="shared" si="171"/>
        <v>200000</v>
      </c>
      <c r="T43" s="36">
        <f t="shared" si="171"/>
        <v>200000</v>
      </c>
      <c r="U43" s="36">
        <f t="shared" si="171"/>
        <v>200000</v>
      </c>
      <c r="V43" s="36">
        <f t="shared" si="171"/>
        <v>200000</v>
      </c>
      <c r="W43" s="36">
        <f t="shared" si="171"/>
        <v>200000</v>
      </c>
      <c r="X43" s="36">
        <f t="shared" si="171"/>
        <v>200000</v>
      </c>
      <c r="Y43" s="36">
        <f t="shared" si="171"/>
        <v>200000</v>
      </c>
      <c r="Z43" s="36">
        <f t="shared" si="171"/>
        <v>200000</v>
      </c>
      <c r="AA43" s="36">
        <f t="shared" si="171"/>
        <v>200000</v>
      </c>
      <c r="AB43" s="46">
        <f t="shared" ref="AB43" si="176">SUM(P43:AA43)</f>
        <v>2400000</v>
      </c>
      <c r="AC43" s="36">
        <f t="shared" si="173"/>
        <v>200000</v>
      </c>
      <c r="AD43" s="36">
        <f t="shared" si="173"/>
        <v>200000</v>
      </c>
      <c r="AE43" s="36">
        <f t="shared" si="173"/>
        <v>200000</v>
      </c>
      <c r="AF43" s="36">
        <f t="shared" si="173"/>
        <v>200000</v>
      </c>
      <c r="AG43" s="36">
        <f t="shared" si="173"/>
        <v>200000</v>
      </c>
      <c r="AH43" s="36">
        <f t="shared" si="173"/>
        <v>200000</v>
      </c>
      <c r="AI43" s="36">
        <f t="shared" si="173"/>
        <v>200000</v>
      </c>
      <c r="AJ43" s="36">
        <f t="shared" si="173"/>
        <v>200000</v>
      </c>
      <c r="AK43" s="36">
        <f t="shared" si="173"/>
        <v>200000</v>
      </c>
      <c r="AL43" s="36">
        <f t="shared" si="173"/>
        <v>200000</v>
      </c>
      <c r="AM43" s="36">
        <f t="shared" si="173"/>
        <v>200000</v>
      </c>
      <c r="AN43" s="36">
        <f t="shared" si="173"/>
        <v>200000</v>
      </c>
      <c r="AO43" s="46">
        <f t="shared" ref="AO43" si="177">SUM(AC43:AN43)</f>
        <v>2400000</v>
      </c>
    </row>
    <row r="44" spans="1:41">
      <c r="A44" s="32" t="s">
        <v>57</v>
      </c>
      <c r="B44" s="33"/>
      <c r="C44" s="30">
        <f t="shared" ref="C44:N44" si="178">C13*$H6</f>
        <v>94500</v>
      </c>
      <c r="D44" s="30">
        <f t="shared" si="178"/>
        <v>126000</v>
      </c>
      <c r="E44" s="30">
        <f t="shared" si="178"/>
        <v>168000</v>
      </c>
      <c r="F44" s="30">
        <f t="shared" si="178"/>
        <v>420000</v>
      </c>
      <c r="G44" s="30">
        <f t="shared" si="178"/>
        <v>504000</v>
      </c>
      <c r="H44" s="30">
        <f t="shared" si="178"/>
        <v>588000</v>
      </c>
      <c r="I44" s="30">
        <f t="shared" si="178"/>
        <v>672000</v>
      </c>
      <c r="J44" s="30">
        <f t="shared" si="178"/>
        <v>756000</v>
      </c>
      <c r="K44" s="30">
        <f t="shared" si="178"/>
        <v>840000</v>
      </c>
      <c r="L44" s="30">
        <f t="shared" si="178"/>
        <v>924000</v>
      </c>
      <c r="M44" s="30">
        <f t="shared" si="178"/>
        <v>1008000</v>
      </c>
      <c r="N44" s="30">
        <f t="shared" si="178"/>
        <v>1008000</v>
      </c>
      <c r="O44" s="46">
        <f t="shared" ref="O44" si="179">SUM(C44:N44)</f>
        <v>7108500</v>
      </c>
      <c r="P44" s="30">
        <f t="shared" ref="P44:AA44" si="180">P13*$H6</f>
        <v>2310462</v>
      </c>
      <c r="Q44" s="30">
        <f t="shared" si="180"/>
        <v>2310462</v>
      </c>
      <c r="R44" s="30">
        <f t="shared" si="180"/>
        <v>2310462</v>
      </c>
      <c r="S44" s="30">
        <f t="shared" si="180"/>
        <v>2310462</v>
      </c>
      <c r="T44" s="30">
        <f t="shared" si="180"/>
        <v>2310462</v>
      </c>
      <c r="U44" s="30">
        <f t="shared" si="180"/>
        <v>2310462</v>
      </c>
      <c r="V44" s="30">
        <f t="shared" si="180"/>
        <v>2310462</v>
      </c>
      <c r="W44" s="30">
        <f t="shared" si="180"/>
        <v>2310462</v>
      </c>
      <c r="X44" s="30">
        <f t="shared" si="180"/>
        <v>2310462</v>
      </c>
      <c r="Y44" s="30">
        <f t="shared" si="180"/>
        <v>2310462</v>
      </c>
      <c r="Z44" s="30">
        <f t="shared" si="180"/>
        <v>2310462</v>
      </c>
      <c r="AA44" s="30">
        <f t="shared" si="180"/>
        <v>2310462</v>
      </c>
      <c r="AB44" s="46">
        <f t="shared" ref="AB44" si="181">SUM(P44:AA44)</f>
        <v>27725544</v>
      </c>
      <c r="AC44" s="30">
        <f t="shared" ref="AC44:AN44" si="182">AC13*$H6</f>
        <v>2520504</v>
      </c>
      <c r="AD44" s="30">
        <f t="shared" si="182"/>
        <v>2520504</v>
      </c>
      <c r="AE44" s="30">
        <f t="shared" si="182"/>
        <v>2520504</v>
      </c>
      <c r="AF44" s="30">
        <f t="shared" si="182"/>
        <v>2520504</v>
      </c>
      <c r="AG44" s="30">
        <f t="shared" si="182"/>
        <v>2520504</v>
      </c>
      <c r="AH44" s="30">
        <f t="shared" si="182"/>
        <v>2520504</v>
      </c>
      <c r="AI44" s="30">
        <f t="shared" si="182"/>
        <v>2520504</v>
      </c>
      <c r="AJ44" s="30">
        <f t="shared" si="182"/>
        <v>2520504</v>
      </c>
      <c r="AK44" s="30">
        <f t="shared" si="182"/>
        <v>2520504</v>
      </c>
      <c r="AL44" s="30">
        <f t="shared" si="182"/>
        <v>2520504</v>
      </c>
      <c r="AM44" s="30">
        <f t="shared" si="182"/>
        <v>2520504</v>
      </c>
      <c r="AN44" s="30">
        <f t="shared" si="182"/>
        <v>2520504</v>
      </c>
      <c r="AO44" s="46">
        <f t="shared" ref="AO44" si="183">SUM(AC44:AN44)</f>
        <v>30246048</v>
      </c>
    </row>
    <row r="45" spans="1:41">
      <c r="A45" s="32" t="s">
        <v>58</v>
      </c>
      <c r="B45" s="33"/>
      <c r="C45" s="30">
        <f t="shared" ref="C45:N45" si="184">C13*$H7</f>
        <v>47250</v>
      </c>
      <c r="D45" s="30">
        <f t="shared" si="184"/>
        <v>63000</v>
      </c>
      <c r="E45" s="30">
        <f t="shared" si="184"/>
        <v>84000</v>
      </c>
      <c r="F45" s="30">
        <f t="shared" si="184"/>
        <v>210000</v>
      </c>
      <c r="G45" s="30">
        <f t="shared" si="184"/>
        <v>252000</v>
      </c>
      <c r="H45" s="30">
        <f t="shared" si="184"/>
        <v>294000</v>
      </c>
      <c r="I45" s="30">
        <f t="shared" si="184"/>
        <v>336000</v>
      </c>
      <c r="J45" s="30">
        <f t="shared" si="184"/>
        <v>378000</v>
      </c>
      <c r="K45" s="30">
        <f t="shared" si="184"/>
        <v>420000</v>
      </c>
      <c r="L45" s="30">
        <f t="shared" si="184"/>
        <v>462000</v>
      </c>
      <c r="M45" s="30">
        <f t="shared" si="184"/>
        <v>504000</v>
      </c>
      <c r="N45" s="30">
        <f t="shared" si="184"/>
        <v>504000</v>
      </c>
      <c r="O45" s="46">
        <f t="shared" si="7"/>
        <v>3554250</v>
      </c>
      <c r="P45" s="30">
        <f t="shared" ref="P45:AA45" si="185">P13*$H7</f>
        <v>1155231</v>
      </c>
      <c r="Q45" s="30">
        <f t="shared" si="185"/>
        <v>1155231</v>
      </c>
      <c r="R45" s="30">
        <f t="shared" si="185"/>
        <v>1155231</v>
      </c>
      <c r="S45" s="30">
        <f t="shared" si="185"/>
        <v>1155231</v>
      </c>
      <c r="T45" s="30">
        <f t="shared" si="185"/>
        <v>1155231</v>
      </c>
      <c r="U45" s="30">
        <f t="shared" si="185"/>
        <v>1155231</v>
      </c>
      <c r="V45" s="30">
        <f t="shared" si="185"/>
        <v>1155231</v>
      </c>
      <c r="W45" s="30">
        <f t="shared" si="185"/>
        <v>1155231</v>
      </c>
      <c r="X45" s="30">
        <f t="shared" si="185"/>
        <v>1155231</v>
      </c>
      <c r="Y45" s="30">
        <f t="shared" si="185"/>
        <v>1155231</v>
      </c>
      <c r="Z45" s="30">
        <f t="shared" si="185"/>
        <v>1155231</v>
      </c>
      <c r="AA45" s="30">
        <f t="shared" si="185"/>
        <v>1155231</v>
      </c>
      <c r="AB45" s="46">
        <f t="shared" si="9"/>
        <v>13862772</v>
      </c>
      <c r="AC45" s="30">
        <f t="shared" ref="AC45:AN45" si="186">AC13*$H7</f>
        <v>1260252</v>
      </c>
      <c r="AD45" s="30">
        <f t="shared" si="186"/>
        <v>1260252</v>
      </c>
      <c r="AE45" s="30">
        <f t="shared" si="186"/>
        <v>1260252</v>
      </c>
      <c r="AF45" s="30">
        <f t="shared" si="186"/>
        <v>1260252</v>
      </c>
      <c r="AG45" s="30">
        <f t="shared" si="186"/>
        <v>1260252</v>
      </c>
      <c r="AH45" s="30">
        <f t="shared" si="186"/>
        <v>1260252</v>
      </c>
      <c r="AI45" s="30">
        <f t="shared" si="186"/>
        <v>1260252</v>
      </c>
      <c r="AJ45" s="30">
        <f t="shared" si="186"/>
        <v>1260252</v>
      </c>
      <c r="AK45" s="30">
        <f t="shared" si="186"/>
        <v>1260252</v>
      </c>
      <c r="AL45" s="30">
        <f t="shared" si="186"/>
        <v>1260252</v>
      </c>
      <c r="AM45" s="30">
        <f t="shared" si="186"/>
        <v>1260252</v>
      </c>
      <c r="AN45" s="30">
        <f t="shared" si="186"/>
        <v>1260252</v>
      </c>
      <c r="AO45" s="46">
        <f t="shared" si="11"/>
        <v>15123024</v>
      </c>
    </row>
    <row r="46" spans="1:41">
      <c r="A46" s="27" t="s">
        <v>59</v>
      </c>
      <c r="B46" s="27"/>
      <c r="C46" s="31">
        <f t="shared" ref="C46:N46" si="187">SUM(C47:C49)</f>
        <v>1134580</v>
      </c>
      <c r="D46" s="31">
        <f t="shared" si="187"/>
        <v>1927200</v>
      </c>
      <c r="E46" s="31">
        <f t="shared" si="187"/>
        <v>2662000</v>
      </c>
      <c r="F46" s="31">
        <f t="shared" si="187"/>
        <v>6829280</v>
      </c>
      <c r="G46" s="31">
        <f t="shared" si="187"/>
        <v>8298880</v>
      </c>
      <c r="H46" s="31">
        <f t="shared" si="187"/>
        <v>9768480</v>
      </c>
      <c r="I46" s="31">
        <f t="shared" si="187"/>
        <v>11238080</v>
      </c>
      <c r="J46" s="31">
        <f t="shared" si="187"/>
        <v>12707680</v>
      </c>
      <c r="K46" s="31">
        <f t="shared" si="187"/>
        <v>14177280</v>
      </c>
      <c r="L46" s="31">
        <f t="shared" si="187"/>
        <v>15646880</v>
      </c>
      <c r="M46" s="31">
        <f t="shared" si="187"/>
        <v>17116480</v>
      </c>
      <c r="N46" s="31">
        <f t="shared" si="187"/>
        <v>17116480</v>
      </c>
      <c r="O46" s="46">
        <f t="shared" si="7"/>
        <v>118623300</v>
      </c>
      <c r="P46" s="31">
        <f t="shared" ref="P46:AA46" si="188">SUM(P47:P49)</f>
        <v>39586818.8</v>
      </c>
      <c r="Q46" s="31">
        <f t="shared" si="188"/>
        <v>39586818.8</v>
      </c>
      <c r="R46" s="31">
        <f t="shared" si="188"/>
        <v>39586818.8</v>
      </c>
      <c r="S46" s="31">
        <f t="shared" si="188"/>
        <v>39586818.8</v>
      </c>
      <c r="T46" s="31">
        <f t="shared" si="188"/>
        <v>39586818.8</v>
      </c>
      <c r="U46" s="31">
        <f t="shared" si="188"/>
        <v>39586818.8</v>
      </c>
      <c r="V46" s="31">
        <f t="shared" si="188"/>
        <v>39586818.8</v>
      </c>
      <c r="W46" s="31">
        <f t="shared" si="188"/>
        <v>39586818.8</v>
      </c>
      <c r="X46" s="31">
        <f t="shared" si="188"/>
        <v>39586818.8</v>
      </c>
      <c r="Y46" s="31">
        <f t="shared" si="188"/>
        <v>39586818.8</v>
      </c>
      <c r="Z46" s="31">
        <f t="shared" si="188"/>
        <v>39586818.8</v>
      </c>
      <c r="AA46" s="31">
        <f t="shared" si="188"/>
        <v>39586818.8</v>
      </c>
      <c r="AB46" s="46">
        <f t="shared" si="9"/>
        <v>475041825.6</v>
      </c>
      <c r="AC46" s="31">
        <f t="shared" ref="AC46:AN46" si="189">SUM(AC47:AC49)</f>
        <v>43197372.8</v>
      </c>
      <c r="AD46" s="31">
        <f t="shared" si="189"/>
        <v>43197372.8</v>
      </c>
      <c r="AE46" s="31">
        <f t="shared" si="189"/>
        <v>43197372.8</v>
      </c>
      <c r="AF46" s="31">
        <f t="shared" si="189"/>
        <v>43197372.8</v>
      </c>
      <c r="AG46" s="31">
        <f t="shared" si="189"/>
        <v>43197372.8</v>
      </c>
      <c r="AH46" s="31">
        <f t="shared" si="189"/>
        <v>43197372.8</v>
      </c>
      <c r="AI46" s="31">
        <f t="shared" si="189"/>
        <v>43197372.8</v>
      </c>
      <c r="AJ46" s="31">
        <f t="shared" si="189"/>
        <v>43197372.8</v>
      </c>
      <c r="AK46" s="31">
        <f t="shared" si="189"/>
        <v>43197372.8</v>
      </c>
      <c r="AL46" s="31">
        <f t="shared" si="189"/>
        <v>43197372.8</v>
      </c>
      <c r="AM46" s="31">
        <f t="shared" si="189"/>
        <v>43197372.8</v>
      </c>
      <c r="AN46" s="31">
        <f t="shared" si="189"/>
        <v>43197372.8</v>
      </c>
      <c r="AO46" s="46">
        <f t="shared" si="11"/>
        <v>518368473.6</v>
      </c>
    </row>
    <row r="47" spans="1:41">
      <c r="A47" s="32" t="s">
        <v>60</v>
      </c>
      <c r="B47" s="33"/>
      <c r="C47" s="30">
        <f t="shared" ref="C47:N47" si="190">C13*$H5</f>
        <v>47250</v>
      </c>
      <c r="D47" s="30">
        <f t="shared" si="190"/>
        <v>63000</v>
      </c>
      <c r="E47" s="30">
        <f t="shared" si="190"/>
        <v>84000</v>
      </c>
      <c r="F47" s="30">
        <f t="shared" si="190"/>
        <v>210000</v>
      </c>
      <c r="G47" s="30">
        <f t="shared" si="190"/>
        <v>252000</v>
      </c>
      <c r="H47" s="30">
        <f t="shared" si="190"/>
        <v>294000</v>
      </c>
      <c r="I47" s="30">
        <f t="shared" si="190"/>
        <v>336000</v>
      </c>
      <c r="J47" s="30">
        <f t="shared" si="190"/>
        <v>378000</v>
      </c>
      <c r="K47" s="30">
        <f t="shared" si="190"/>
        <v>420000</v>
      </c>
      <c r="L47" s="30">
        <f t="shared" si="190"/>
        <v>462000</v>
      </c>
      <c r="M47" s="30">
        <f t="shared" si="190"/>
        <v>504000</v>
      </c>
      <c r="N47" s="30">
        <f t="shared" si="190"/>
        <v>504000</v>
      </c>
      <c r="O47" s="46">
        <f t="shared" si="7"/>
        <v>3554250</v>
      </c>
      <c r="P47" s="30">
        <f t="shared" ref="P47:AA47" si="191">P13*$H5</f>
        <v>1155231</v>
      </c>
      <c r="Q47" s="30">
        <f t="shared" si="191"/>
        <v>1155231</v>
      </c>
      <c r="R47" s="30">
        <f t="shared" si="191"/>
        <v>1155231</v>
      </c>
      <c r="S47" s="30">
        <f t="shared" si="191"/>
        <v>1155231</v>
      </c>
      <c r="T47" s="30">
        <f t="shared" si="191"/>
        <v>1155231</v>
      </c>
      <c r="U47" s="30">
        <f t="shared" si="191"/>
        <v>1155231</v>
      </c>
      <c r="V47" s="30">
        <f t="shared" si="191"/>
        <v>1155231</v>
      </c>
      <c r="W47" s="30">
        <f t="shared" si="191"/>
        <v>1155231</v>
      </c>
      <c r="X47" s="30">
        <f t="shared" si="191"/>
        <v>1155231</v>
      </c>
      <c r="Y47" s="30">
        <f t="shared" si="191"/>
        <v>1155231</v>
      </c>
      <c r="Z47" s="30">
        <f t="shared" si="191"/>
        <v>1155231</v>
      </c>
      <c r="AA47" s="30">
        <f t="shared" si="191"/>
        <v>1155231</v>
      </c>
      <c r="AB47" s="46">
        <f t="shared" si="9"/>
        <v>13862772</v>
      </c>
      <c r="AC47" s="30">
        <f t="shared" ref="AC47:AN47" si="192">AC13*$H5</f>
        <v>1260252</v>
      </c>
      <c r="AD47" s="30">
        <f t="shared" si="192"/>
        <v>1260252</v>
      </c>
      <c r="AE47" s="30">
        <f t="shared" si="192"/>
        <v>1260252</v>
      </c>
      <c r="AF47" s="30">
        <f t="shared" si="192"/>
        <v>1260252</v>
      </c>
      <c r="AG47" s="30">
        <f t="shared" si="192"/>
        <v>1260252</v>
      </c>
      <c r="AH47" s="30">
        <f t="shared" si="192"/>
        <v>1260252</v>
      </c>
      <c r="AI47" s="30">
        <f t="shared" si="192"/>
        <v>1260252</v>
      </c>
      <c r="AJ47" s="30">
        <f t="shared" si="192"/>
        <v>1260252</v>
      </c>
      <c r="AK47" s="30">
        <f t="shared" si="192"/>
        <v>1260252</v>
      </c>
      <c r="AL47" s="30">
        <f t="shared" si="192"/>
        <v>1260252</v>
      </c>
      <c r="AM47" s="30">
        <f t="shared" si="192"/>
        <v>1260252</v>
      </c>
      <c r="AN47" s="30">
        <f t="shared" si="192"/>
        <v>1260252</v>
      </c>
      <c r="AO47" s="46">
        <f t="shared" si="11"/>
        <v>15123024</v>
      </c>
    </row>
    <row r="48" spans="1:41">
      <c r="A48" s="32" t="s">
        <v>61</v>
      </c>
      <c r="B48" s="33"/>
      <c r="C48" s="38">
        <f t="shared" ref="C48:N48" si="193">C21*$H1</f>
        <v>911600</v>
      </c>
      <c r="D48" s="38">
        <f t="shared" si="193"/>
        <v>731000</v>
      </c>
      <c r="E48" s="38">
        <f t="shared" si="193"/>
        <v>731000</v>
      </c>
      <c r="F48" s="38">
        <f t="shared" si="193"/>
        <v>911600</v>
      </c>
      <c r="G48" s="38">
        <f t="shared" si="193"/>
        <v>911600</v>
      </c>
      <c r="H48" s="38">
        <f t="shared" si="193"/>
        <v>911600</v>
      </c>
      <c r="I48" s="38">
        <f t="shared" si="193"/>
        <v>911600</v>
      </c>
      <c r="J48" s="38">
        <f t="shared" si="193"/>
        <v>911600</v>
      </c>
      <c r="K48" s="38">
        <f t="shared" si="193"/>
        <v>911600</v>
      </c>
      <c r="L48" s="38">
        <f t="shared" si="193"/>
        <v>911600</v>
      </c>
      <c r="M48" s="38">
        <f t="shared" si="193"/>
        <v>911600</v>
      </c>
      <c r="N48" s="38">
        <f t="shared" si="193"/>
        <v>911600</v>
      </c>
      <c r="O48" s="46">
        <f t="shared" si="7"/>
        <v>10578000</v>
      </c>
      <c r="P48" s="38">
        <f t="shared" ref="P48:AA48" si="194">P21*$H1</f>
        <v>1201420</v>
      </c>
      <c r="Q48" s="38">
        <f t="shared" si="194"/>
        <v>1201420</v>
      </c>
      <c r="R48" s="38">
        <f t="shared" si="194"/>
        <v>1201420</v>
      </c>
      <c r="S48" s="38">
        <f t="shared" si="194"/>
        <v>1201420</v>
      </c>
      <c r="T48" s="38">
        <f t="shared" si="194"/>
        <v>1201420</v>
      </c>
      <c r="U48" s="38">
        <f t="shared" si="194"/>
        <v>1201420</v>
      </c>
      <c r="V48" s="38">
        <f t="shared" si="194"/>
        <v>1201420</v>
      </c>
      <c r="W48" s="38">
        <f t="shared" si="194"/>
        <v>1201420</v>
      </c>
      <c r="X48" s="38">
        <f t="shared" si="194"/>
        <v>1201420</v>
      </c>
      <c r="Y48" s="38">
        <f t="shared" si="194"/>
        <v>1201420</v>
      </c>
      <c r="Z48" s="38">
        <f t="shared" si="194"/>
        <v>1201420</v>
      </c>
      <c r="AA48" s="38">
        <f t="shared" si="194"/>
        <v>1201420</v>
      </c>
      <c r="AB48" s="46">
        <f t="shared" si="9"/>
        <v>14417040</v>
      </c>
      <c r="AC48" s="38">
        <f t="shared" ref="AC48:AN48" si="195">AC21*$H1</f>
        <v>1316144</v>
      </c>
      <c r="AD48" s="38">
        <f t="shared" si="195"/>
        <v>1316144</v>
      </c>
      <c r="AE48" s="38">
        <f t="shared" si="195"/>
        <v>1316144</v>
      </c>
      <c r="AF48" s="38">
        <f t="shared" si="195"/>
        <v>1316144</v>
      </c>
      <c r="AG48" s="38">
        <f t="shared" si="195"/>
        <v>1316144</v>
      </c>
      <c r="AH48" s="38">
        <f t="shared" si="195"/>
        <v>1316144</v>
      </c>
      <c r="AI48" s="38">
        <f t="shared" si="195"/>
        <v>1316144</v>
      </c>
      <c r="AJ48" s="38">
        <f t="shared" si="195"/>
        <v>1316144</v>
      </c>
      <c r="AK48" s="38">
        <f t="shared" si="195"/>
        <v>1316144</v>
      </c>
      <c r="AL48" s="38">
        <f t="shared" si="195"/>
        <v>1316144</v>
      </c>
      <c r="AM48" s="38">
        <f t="shared" si="195"/>
        <v>1316144</v>
      </c>
      <c r="AN48" s="38">
        <f t="shared" si="195"/>
        <v>1316144</v>
      </c>
      <c r="AO48" s="46">
        <f t="shared" si="11"/>
        <v>15793728</v>
      </c>
    </row>
    <row r="49" spans="1:41">
      <c r="A49" s="32" t="s">
        <v>62</v>
      </c>
      <c r="B49" s="33"/>
      <c r="C49" s="38">
        <f t="shared" ref="C49:N49" si="196">IF((C13-C18-C47-C48)&gt;0,(C13-C18-C47-C48)*$H2,0)</f>
        <v>175730</v>
      </c>
      <c r="D49" s="38">
        <f t="shared" si="196"/>
        <v>1133200</v>
      </c>
      <c r="E49" s="38">
        <f t="shared" si="196"/>
        <v>1847000</v>
      </c>
      <c r="F49" s="38">
        <f t="shared" si="196"/>
        <v>5707680</v>
      </c>
      <c r="G49" s="38">
        <f t="shared" si="196"/>
        <v>7135280</v>
      </c>
      <c r="H49" s="38">
        <f t="shared" si="196"/>
        <v>8562880</v>
      </c>
      <c r="I49" s="38">
        <f t="shared" si="196"/>
        <v>9990480</v>
      </c>
      <c r="J49" s="38">
        <f t="shared" si="196"/>
        <v>11418080</v>
      </c>
      <c r="K49" s="38">
        <f t="shared" si="196"/>
        <v>12845680</v>
      </c>
      <c r="L49" s="38">
        <f t="shared" si="196"/>
        <v>14273280</v>
      </c>
      <c r="M49" s="38">
        <f t="shared" si="196"/>
        <v>15700880</v>
      </c>
      <c r="N49" s="38">
        <f t="shared" si="196"/>
        <v>15700880</v>
      </c>
      <c r="O49" s="46">
        <f t="shared" si="7"/>
        <v>104491050</v>
      </c>
      <c r="P49" s="38">
        <f t="shared" ref="P49:AA49" si="197">IF((P13-P18-P47-P48)&gt;0,(P13-P18-P47-P48)*$H2,0)</f>
        <v>37230167.8</v>
      </c>
      <c r="Q49" s="38">
        <f t="shared" si="197"/>
        <v>37230167.8</v>
      </c>
      <c r="R49" s="38">
        <f t="shared" si="197"/>
        <v>37230167.8</v>
      </c>
      <c r="S49" s="38">
        <f t="shared" si="197"/>
        <v>37230167.8</v>
      </c>
      <c r="T49" s="38">
        <f t="shared" si="197"/>
        <v>37230167.8</v>
      </c>
      <c r="U49" s="38">
        <f t="shared" si="197"/>
        <v>37230167.8</v>
      </c>
      <c r="V49" s="38">
        <f t="shared" si="197"/>
        <v>37230167.8</v>
      </c>
      <c r="W49" s="38">
        <f t="shared" si="197"/>
        <v>37230167.8</v>
      </c>
      <c r="X49" s="38">
        <f t="shared" si="197"/>
        <v>37230167.8</v>
      </c>
      <c r="Y49" s="38">
        <f t="shared" si="197"/>
        <v>37230167.8</v>
      </c>
      <c r="Z49" s="38">
        <f t="shared" si="197"/>
        <v>37230167.8</v>
      </c>
      <c r="AA49" s="38">
        <f t="shared" si="197"/>
        <v>37230167.8</v>
      </c>
      <c r="AB49" s="46">
        <f t="shared" ref="AB49" si="198">SUM(P49:AA49)</f>
        <v>446762013.6</v>
      </c>
      <c r="AC49" s="38">
        <f t="shared" ref="AC49:AN49" si="199">IF((AC13-AC18-AC47-AC48)&gt;0,(AC13-AC18-AC47-AC48)*$H2,0)</f>
        <v>40620976.8</v>
      </c>
      <c r="AD49" s="38">
        <f t="shared" si="199"/>
        <v>40620976.8</v>
      </c>
      <c r="AE49" s="38">
        <f t="shared" si="199"/>
        <v>40620976.8</v>
      </c>
      <c r="AF49" s="38">
        <f t="shared" si="199"/>
        <v>40620976.8</v>
      </c>
      <c r="AG49" s="38">
        <f t="shared" si="199"/>
        <v>40620976.8</v>
      </c>
      <c r="AH49" s="38">
        <f t="shared" si="199"/>
        <v>40620976.8</v>
      </c>
      <c r="AI49" s="38">
        <f t="shared" si="199"/>
        <v>40620976.8</v>
      </c>
      <c r="AJ49" s="38">
        <f t="shared" si="199"/>
        <v>40620976.8</v>
      </c>
      <c r="AK49" s="38">
        <f t="shared" si="199"/>
        <v>40620976.8</v>
      </c>
      <c r="AL49" s="38">
        <f t="shared" si="199"/>
        <v>40620976.8</v>
      </c>
      <c r="AM49" s="38">
        <f t="shared" si="199"/>
        <v>40620976.8</v>
      </c>
      <c r="AN49" s="38">
        <f t="shared" si="199"/>
        <v>40620976.8</v>
      </c>
      <c r="AO49" s="46">
        <f t="shared" ref="AO49" si="200">SUM(AC49:AN49)</f>
        <v>487451721.6</v>
      </c>
    </row>
    <row r="50" spans="1:41">
      <c r="A50" s="27" t="s">
        <v>63</v>
      </c>
      <c r="B50" s="27"/>
      <c r="C50" s="31">
        <f t="shared" ref="C50:N50" si="201">SUM(C51:C53)</f>
        <v>53746666.6666667</v>
      </c>
      <c r="D50" s="31">
        <f t="shared" si="201"/>
        <v>51666666.6666667</v>
      </c>
      <c r="E50" s="31">
        <f t="shared" si="201"/>
        <v>51666666.6666667</v>
      </c>
      <c r="F50" s="31">
        <f t="shared" si="201"/>
        <v>25000000</v>
      </c>
      <c r="G50" s="31">
        <f t="shared" si="201"/>
        <v>25000000</v>
      </c>
      <c r="H50" s="31">
        <f t="shared" si="201"/>
        <v>25000000</v>
      </c>
      <c r="I50" s="31">
        <f t="shared" si="201"/>
        <v>25000000</v>
      </c>
      <c r="J50" s="31">
        <f t="shared" si="201"/>
        <v>25000000</v>
      </c>
      <c r="K50" s="31">
        <f t="shared" si="201"/>
        <v>25000000</v>
      </c>
      <c r="L50" s="31">
        <f t="shared" si="201"/>
        <v>25000000</v>
      </c>
      <c r="M50" s="31">
        <f t="shared" si="201"/>
        <v>25000000</v>
      </c>
      <c r="N50" s="31">
        <f t="shared" si="201"/>
        <v>25000000</v>
      </c>
      <c r="O50" s="46">
        <f t="shared" ref="O50:O53" si="202">SUM(C50:N50)</f>
        <v>382080000</v>
      </c>
      <c r="P50" s="31">
        <f t="shared" ref="P50:AA50" si="203">SUM(P51:P53)</f>
        <v>0</v>
      </c>
      <c r="Q50" s="31">
        <f t="shared" si="203"/>
        <v>0</v>
      </c>
      <c r="R50" s="31">
        <f t="shared" si="203"/>
        <v>0</v>
      </c>
      <c r="S50" s="31">
        <f t="shared" si="203"/>
        <v>0</v>
      </c>
      <c r="T50" s="31">
        <f t="shared" si="203"/>
        <v>0</v>
      </c>
      <c r="U50" s="31">
        <f t="shared" si="203"/>
        <v>0</v>
      </c>
      <c r="V50" s="31">
        <f t="shared" si="203"/>
        <v>0</v>
      </c>
      <c r="W50" s="31">
        <f t="shared" si="203"/>
        <v>0</v>
      </c>
      <c r="X50" s="31">
        <f t="shared" si="203"/>
        <v>0</v>
      </c>
      <c r="Y50" s="31">
        <f t="shared" si="203"/>
        <v>0</v>
      </c>
      <c r="Z50" s="31">
        <f t="shared" si="203"/>
        <v>0</v>
      </c>
      <c r="AA50" s="31">
        <f t="shared" si="203"/>
        <v>0</v>
      </c>
      <c r="AB50" s="46">
        <f t="shared" ref="AB50:AB53" si="204">SUM(P50:AA50)</f>
        <v>0</v>
      </c>
      <c r="AC50" s="31">
        <f t="shared" ref="AC50:AN50" si="205">SUM(AC51:AC53)</f>
        <v>0</v>
      </c>
      <c r="AD50" s="31">
        <f t="shared" si="205"/>
        <v>0</v>
      </c>
      <c r="AE50" s="31">
        <f t="shared" si="205"/>
        <v>0</v>
      </c>
      <c r="AF50" s="31">
        <f t="shared" si="205"/>
        <v>0</v>
      </c>
      <c r="AG50" s="31">
        <f t="shared" si="205"/>
        <v>0</v>
      </c>
      <c r="AH50" s="31">
        <f t="shared" si="205"/>
        <v>0</v>
      </c>
      <c r="AI50" s="31">
        <f t="shared" si="205"/>
        <v>0</v>
      </c>
      <c r="AJ50" s="31">
        <f t="shared" si="205"/>
        <v>0</v>
      </c>
      <c r="AK50" s="31">
        <f t="shared" si="205"/>
        <v>0</v>
      </c>
      <c r="AL50" s="31">
        <f t="shared" si="205"/>
        <v>0</v>
      </c>
      <c r="AM50" s="31">
        <f t="shared" si="205"/>
        <v>0</v>
      </c>
      <c r="AN50" s="31">
        <f t="shared" si="205"/>
        <v>0</v>
      </c>
      <c r="AO50" s="46">
        <f t="shared" ref="AO50:AO53" si="206">SUM(AC50:AN50)</f>
        <v>0</v>
      </c>
    </row>
    <row r="51" spans="1:41">
      <c r="A51" s="32" t="s">
        <v>78</v>
      </c>
      <c r="B51" s="13">
        <v>80000000</v>
      </c>
      <c r="C51" s="36">
        <f>IF(C11&lt;=$H8,$B51/$H8,0)</f>
        <v>26666666.6666667</v>
      </c>
      <c r="D51" s="36">
        <f t="shared" ref="D51:AN51" si="207">IF(D11&lt;=$H8,$B51/$H8,0)</f>
        <v>26666666.6666667</v>
      </c>
      <c r="E51" s="36">
        <f t="shared" si="207"/>
        <v>26666666.6666667</v>
      </c>
      <c r="F51" s="36">
        <f t="shared" si="207"/>
        <v>0</v>
      </c>
      <c r="G51" s="36">
        <f t="shared" si="207"/>
        <v>0</v>
      </c>
      <c r="H51" s="36">
        <f t="shared" si="207"/>
        <v>0</v>
      </c>
      <c r="I51" s="36">
        <f t="shared" si="207"/>
        <v>0</v>
      </c>
      <c r="J51" s="36">
        <f t="shared" si="207"/>
        <v>0</v>
      </c>
      <c r="K51" s="36">
        <f t="shared" si="207"/>
        <v>0</v>
      </c>
      <c r="L51" s="36">
        <f t="shared" si="207"/>
        <v>0</v>
      </c>
      <c r="M51" s="36">
        <f t="shared" si="207"/>
        <v>0</v>
      </c>
      <c r="N51" s="36">
        <f t="shared" si="207"/>
        <v>0</v>
      </c>
      <c r="O51" s="46">
        <f t="shared" si="202"/>
        <v>80000000</v>
      </c>
      <c r="P51" s="36">
        <f t="shared" si="207"/>
        <v>0</v>
      </c>
      <c r="Q51" s="36">
        <f t="shared" si="207"/>
        <v>0</v>
      </c>
      <c r="R51" s="36">
        <f t="shared" si="207"/>
        <v>0</v>
      </c>
      <c r="S51" s="36">
        <f t="shared" si="207"/>
        <v>0</v>
      </c>
      <c r="T51" s="36">
        <f t="shared" si="207"/>
        <v>0</v>
      </c>
      <c r="U51" s="36">
        <f t="shared" si="207"/>
        <v>0</v>
      </c>
      <c r="V51" s="36">
        <f t="shared" si="207"/>
        <v>0</v>
      </c>
      <c r="W51" s="36">
        <f t="shared" si="207"/>
        <v>0</v>
      </c>
      <c r="X51" s="36">
        <f t="shared" si="207"/>
        <v>0</v>
      </c>
      <c r="Y51" s="36">
        <f t="shared" si="207"/>
        <v>0</v>
      </c>
      <c r="Z51" s="36">
        <f t="shared" si="207"/>
        <v>0</v>
      </c>
      <c r="AA51" s="36">
        <f t="shared" si="207"/>
        <v>0</v>
      </c>
      <c r="AB51" s="46">
        <f t="shared" si="204"/>
        <v>0</v>
      </c>
      <c r="AC51" s="36">
        <f t="shared" si="207"/>
        <v>0</v>
      </c>
      <c r="AD51" s="36">
        <f t="shared" si="207"/>
        <v>0</v>
      </c>
      <c r="AE51" s="36">
        <f t="shared" si="207"/>
        <v>0</v>
      </c>
      <c r="AF51" s="36">
        <f t="shared" si="207"/>
        <v>0</v>
      </c>
      <c r="AG51" s="36">
        <f t="shared" si="207"/>
        <v>0</v>
      </c>
      <c r="AH51" s="36">
        <f t="shared" si="207"/>
        <v>0</v>
      </c>
      <c r="AI51" s="36">
        <f t="shared" si="207"/>
        <v>0</v>
      </c>
      <c r="AJ51" s="36">
        <f t="shared" si="207"/>
        <v>0</v>
      </c>
      <c r="AK51" s="36">
        <f t="shared" si="207"/>
        <v>0</v>
      </c>
      <c r="AL51" s="36">
        <f t="shared" si="207"/>
        <v>0</v>
      </c>
      <c r="AM51" s="36">
        <f t="shared" si="207"/>
        <v>0</v>
      </c>
      <c r="AN51" s="36">
        <f t="shared" si="207"/>
        <v>0</v>
      </c>
      <c r="AO51" s="46">
        <f t="shared" si="206"/>
        <v>0</v>
      </c>
    </row>
    <row r="52" spans="1:41">
      <c r="A52" s="32" t="s">
        <v>64</v>
      </c>
      <c r="B52" s="13">
        <v>300000000</v>
      </c>
      <c r="C52" s="36">
        <f>IF(C11&lt;=$H9,$B52/$H9,0)</f>
        <v>25000000</v>
      </c>
      <c r="D52" s="36">
        <f t="shared" ref="D52:AN52" si="208">IF(D11&lt;=$H9,$B52/$H9,0)</f>
        <v>25000000</v>
      </c>
      <c r="E52" s="36">
        <f t="shared" si="208"/>
        <v>25000000</v>
      </c>
      <c r="F52" s="36">
        <f t="shared" si="208"/>
        <v>25000000</v>
      </c>
      <c r="G52" s="36">
        <f t="shared" si="208"/>
        <v>25000000</v>
      </c>
      <c r="H52" s="36">
        <f t="shared" si="208"/>
        <v>25000000</v>
      </c>
      <c r="I52" s="36">
        <f t="shared" si="208"/>
        <v>25000000</v>
      </c>
      <c r="J52" s="36">
        <f t="shared" si="208"/>
        <v>25000000</v>
      </c>
      <c r="K52" s="36">
        <f t="shared" si="208"/>
        <v>25000000</v>
      </c>
      <c r="L52" s="36">
        <f t="shared" si="208"/>
        <v>25000000</v>
      </c>
      <c r="M52" s="36">
        <f t="shared" si="208"/>
        <v>25000000</v>
      </c>
      <c r="N52" s="36">
        <f t="shared" si="208"/>
        <v>25000000</v>
      </c>
      <c r="O52" s="46">
        <f t="shared" si="202"/>
        <v>300000000</v>
      </c>
      <c r="P52" s="36">
        <f t="shared" si="208"/>
        <v>0</v>
      </c>
      <c r="Q52" s="36">
        <f t="shared" si="208"/>
        <v>0</v>
      </c>
      <c r="R52" s="36">
        <f t="shared" si="208"/>
        <v>0</v>
      </c>
      <c r="S52" s="36">
        <f t="shared" si="208"/>
        <v>0</v>
      </c>
      <c r="T52" s="36">
        <f t="shared" si="208"/>
        <v>0</v>
      </c>
      <c r="U52" s="36">
        <f t="shared" si="208"/>
        <v>0</v>
      </c>
      <c r="V52" s="36">
        <f t="shared" si="208"/>
        <v>0</v>
      </c>
      <c r="W52" s="36">
        <f t="shared" si="208"/>
        <v>0</v>
      </c>
      <c r="X52" s="36">
        <f t="shared" si="208"/>
        <v>0</v>
      </c>
      <c r="Y52" s="36">
        <f t="shared" si="208"/>
        <v>0</v>
      </c>
      <c r="Z52" s="36">
        <f t="shared" si="208"/>
        <v>0</v>
      </c>
      <c r="AA52" s="36">
        <f t="shared" si="208"/>
        <v>0</v>
      </c>
      <c r="AB52" s="46">
        <f t="shared" si="204"/>
        <v>0</v>
      </c>
      <c r="AC52" s="36">
        <f t="shared" si="208"/>
        <v>0</v>
      </c>
      <c r="AD52" s="36">
        <f t="shared" si="208"/>
        <v>0</v>
      </c>
      <c r="AE52" s="36">
        <f t="shared" si="208"/>
        <v>0</v>
      </c>
      <c r="AF52" s="36">
        <f t="shared" si="208"/>
        <v>0</v>
      </c>
      <c r="AG52" s="36">
        <f t="shared" si="208"/>
        <v>0</v>
      </c>
      <c r="AH52" s="36">
        <f t="shared" si="208"/>
        <v>0</v>
      </c>
      <c r="AI52" s="36">
        <f t="shared" si="208"/>
        <v>0</v>
      </c>
      <c r="AJ52" s="36">
        <f t="shared" si="208"/>
        <v>0</v>
      </c>
      <c r="AK52" s="36">
        <f t="shared" si="208"/>
        <v>0</v>
      </c>
      <c r="AL52" s="36">
        <f t="shared" si="208"/>
        <v>0</v>
      </c>
      <c r="AM52" s="36">
        <f t="shared" si="208"/>
        <v>0</v>
      </c>
      <c r="AN52" s="36">
        <f t="shared" si="208"/>
        <v>0</v>
      </c>
      <c r="AO52" s="46">
        <f t="shared" si="206"/>
        <v>0</v>
      </c>
    </row>
    <row r="53" spans="1:41">
      <c r="A53" s="32" t="s">
        <v>65</v>
      </c>
      <c r="B53" s="33"/>
      <c r="C53" s="38">
        <f>'Разовые расходы'!B20</f>
        <v>2080000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46">
        <f t="shared" si="202"/>
        <v>2080000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46">
        <f t="shared" si="204"/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46">
        <f t="shared" si="206"/>
        <v>0</v>
      </c>
    </row>
    <row r="54" spans="1:41">
      <c r="A54" s="27" t="s">
        <v>66</v>
      </c>
      <c r="B54" s="27"/>
      <c r="C54" s="31">
        <f t="shared" ref="C54:N54" si="209">C13-C18-C46-C50</f>
        <v>-53043746.6666667</v>
      </c>
      <c r="D54" s="31">
        <f t="shared" si="209"/>
        <v>-47133866.6666667</v>
      </c>
      <c r="E54" s="31">
        <f t="shared" si="209"/>
        <v>-44278666.6666667</v>
      </c>
      <c r="F54" s="31">
        <f t="shared" si="209"/>
        <v>-2169280</v>
      </c>
      <c r="G54" s="31">
        <f t="shared" si="209"/>
        <v>3541120</v>
      </c>
      <c r="H54" s="31">
        <f t="shared" si="209"/>
        <v>9251520</v>
      </c>
      <c r="I54" s="31">
        <f t="shared" si="209"/>
        <v>14961920</v>
      </c>
      <c r="J54" s="31">
        <f t="shared" si="209"/>
        <v>20672320</v>
      </c>
      <c r="K54" s="31">
        <f t="shared" si="209"/>
        <v>26382720</v>
      </c>
      <c r="L54" s="31">
        <f t="shared" si="209"/>
        <v>32093120</v>
      </c>
      <c r="M54" s="31">
        <f t="shared" si="209"/>
        <v>37803520</v>
      </c>
      <c r="N54" s="31">
        <f t="shared" si="209"/>
        <v>37803520</v>
      </c>
      <c r="O54" s="46">
        <f t="shared" si="7"/>
        <v>35884200</v>
      </c>
      <c r="P54" s="31">
        <f t="shared" ref="P54:AA54" si="210">P13-P18-P46-P50</f>
        <v>148920671.2</v>
      </c>
      <c r="Q54" s="31">
        <f t="shared" si="210"/>
        <v>148920671.2</v>
      </c>
      <c r="R54" s="31">
        <f t="shared" si="210"/>
        <v>148920671.2</v>
      </c>
      <c r="S54" s="31">
        <f t="shared" si="210"/>
        <v>148920671.2</v>
      </c>
      <c r="T54" s="31">
        <f t="shared" si="210"/>
        <v>148920671.2</v>
      </c>
      <c r="U54" s="31">
        <f t="shared" si="210"/>
        <v>148920671.2</v>
      </c>
      <c r="V54" s="31">
        <f t="shared" si="210"/>
        <v>148920671.2</v>
      </c>
      <c r="W54" s="31">
        <f t="shared" si="210"/>
        <v>148920671.2</v>
      </c>
      <c r="X54" s="31">
        <f t="shared" si="210"/>
        <v>148920671.2</v>
      </c>
      <c r="Y54" s="31">
        <f t="shared" si="210"/>
        <v>148920671.2</v>
      </c>
      <c r="Z54" s="31">
        <f t="shared" si="210"/>
        <v>148920671.2</v>
      </c>
      <c r="AA54" s="31">
        <f t="shared" si="210"/>
        <v>148920671.2</v>
      </c>
      <c r="AB54" s="46">
        <f t="shared" si="9"/>
        <v>1787048054.4</v>
      </c>
      <c r="AC54" s="31">
        <f t="shared" ref="AC54:AN54" si="211">AC13-AC18-AC46-AC50</f>
        <v>162483907.2</v>
      </c>
      <c r="AD54" s="31">
        <f t="shared" si="211"/>
        <v>162483907.2</v>
      </c>
      <c r="AE54" s="31">
        <f t="shared" si="211"/>
        <v>162483907.2</v>
      </c>
      <c r="AF54" s="31">
        <f t="shared" si="211"/>
        <v>162483907.2</v>
      </c>
      <c r="AG54" s="31">
        <f t="shared" si="211"/>
        <v>162483907.2</v>
      </c>
      <c r="AH54" s="31">
        <f t="shared" si="211"/>
        <v>162483907.2</v>
      </c>
      <c r="AI54" s="31">
        <f t="shared" si="211"/>
        <v>162483907.2</v>
      </c>
      <c r="AJ54" s="31">
        <f t="shared" si="211"/>
        <v>162483907.2</v>
      </c>
      <c r="AK54" s="31">
        <f t="shared" si="211"/>
        <v>162483907.2</v>
      </c>
      <c r="AL54" s="31">
        <f t="shared" si="211"/>
        <v>162483907.2</v>
      </c>
      <c r="AM54" s="31">
        <f t="shared" si="211"/>
        <v>162483907.2</v>
      </c>
      <c r="AN54" s="31">
        <f t="shared" si="211"/>
        <v>162483907.2</v>
      </c>
      <c r="AO54" s="46">
        <f t="shared" si="11"/>
        <v>1949806886.4</v>
      </c>
    </row>
    <row r="55" s="8" customFormat="1" spans="1:41">
      <c r="A55" s="39"/>
      <c r="B55" s="39"/>
      <c r="C55" s="40">
        <f t="shared" ref="C55:N55" si="212">C54/(1+$M1/12)^(C11-1)</f>
        <v>-53043746.6666667</v>
      </c>
      <c r="D55" s="40">
        <f t="shared" si="212"/>
        <v>-46361180.3278689</v>
      </c>
      <c r="E55" s="40">
        <f t="shared" si="212"/>
        <v>-42838806.772373</v>
      </c>
      <c r="F55" s="40">
        <f t="shared" si="212"/>
        <v>-2064333.49046837</v>
      </c>
      <c r="G55" s="40">
        <f t="shared" si="212"/>
        <v>3314563.21071432</v>
      </c>
      <c r="H55" s="40">
        <f t="shared" si="212"/>
        <v>8517657.42222923</v>
      </c>
      <c r="I55" s="40">
        <f t="shared" si="212"/>
        <v>13549267.6087467</v>
      </c>
      <c r="J55" s="40">
        <f t="shared" si="212"/>
        <v>18413617.8919647</v>
      </c>
      <c r="K55" s="40">
        <f t="shared" si="212"/>
        <v>23114839.9832554</v>
      </c>
      <c r="L55" s="40">
        <f t="shared" si="212"/>
        <v>27656975.0783006</v>
      </c>
      <c r="M55" s="40">
        <f t="shared" si="212"/>
        <v>32043975.7144426</v>
      </c>
      <c r="N55" s="40">
        <f t="shared" si="212"/>
        <v>31518664.6371567</v>
      </c>
      <c r="O55" s="47"/>
      <c r="P55" s="40">
        <f t="shared" ref="P55:AA55" si="213">P54/(1+$M1/12)^(P11-1)</f>
        <v>122127078.870331</v>
      </c>
      <c r="Q55" s="40">
        <f t="shared" si="213"/>
        <v>120124995.610162</v>
      </c>
      <c r="R55" s="40">
        <f t="shared" si="213"/>
        <v>118155733.387044</v>
      </c>
      <c r="S55" s="40">
        <f t="shared" si="213"/>
        <v>116218754.151191</v>
      </c>
      <c r="T55" s="40">
        <f t="shared" si="213"/>
        <v>114313528.673303</v>
      </c>
      <c r="U55" s="40">
        <f t="shared" si="213"/>
        <v>112439536.39997</v>
      </c>
      <c r="V55" s="40">
        <f t="shared" si="213"/>
        <v>110596265.311446</v>
      </c>
      <c r="W55" s="40">
        <f t="shared" si="213"/>
        <v>108783211.78175</v>
      </c>
      <c r="X55" s="40">
        <f t="shared" si="213"/>
        <v>106999880.441066</v>
      </c>
      <c r="Y55" s="40">
        <f t="shared" si="213"/>
        <v>105245784.040393</v>
      </c>
      <c r="Z55" s="40">
        <f t="shared" si="213"/>
        <v>103520443.318419</v>
      </c>
      <c r="AA55" s="40">
        <f t="shared" si="213"/>
        <v>101823386.870576</v>
      </c>
      <c r="AB55" s="47"/>
      <c r="AC55" s="40">
        <f t="shared" ref="AC55:AN55" si="214">AC54/(1+$M1/12)^(AC11-1)</f>
        <v>109275882.581889</v>
      </c>
      <c r="AD55" s="40">
        <f t="shared" si="214"/>
        <v>107484474.67071</v>
      </c>
      <c r="AE55" s="40">
        <f t="shared" si="214"/>
        <v>105722434.102338</v>
      </c>
      <c r="AF55" s="40">
        <f t="shared" si="214"/>
        <v>103989279.444922</v>
      </c>
      <c r="AG55" s="40">
        <f t="shared" si="214"/>
        <v>102284537.15894</v>
      </c>
      <c r="AH55" s="40">
        <f t="shared" si="214"/>
        <v>100607741.46781</v>
      </c>
      <c r="AI55" s="40">
        <f t="shared" si="214"/>
        <v>98958434.2306328</v>
      </c>
      <c r="AJ55" s="40">
        <f t="shared" si="214"/>
        <v>97336164.8170159</v>
      </c>
      <c r="AK55" s="40">
        <f t="shared" si="214"/>
        <v>95740489.98395</v>
      </c>
      <c r="AL55" s="40">
        <f t="shared" si="214"/>
        <v>94170973.754705</v>
      </c>
      <c r="AM55" s="40">
        <f t="shared" si="214"/>
        <v>92627187.2997098</v>
      </c>
      <c r="AN55" s="40">
        <f t="shared" si="214"/>
        <v>91108708.8193867</v>
      </c>
      <c r="AO55" s="48"/>
    </row>
    <row r="56" s="9" customFormat="1" spans="1:4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O56" s="49"/>
    </row>
    <row r="57" s="9" customFormat="1" spans="1:4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O57" s="49"/>
    </row>
    <row r="58" s="9" customFormat="1" spans="1:4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O58" s="49"/>
    </row>
    <row r="59" s="9" customFormat="1" spans="1:4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O59" s="49"/>
    </row>
    <row r="60" s="9" customFormat="1" spans="1:4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O60" s="49"/>
    </row>
    <row r="61" s="9" customFormat="1" spans="1:4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O61" s="49"/>
    </row>
    <row r="62" s="9" customFormat="1" spans="1:4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O62" s="49"/>
    </row>
    <row r="63" s="9" customFormat="1" spans="1:4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O63" s="49"/>
    </row>
    <row r="64" s="9" customFormat="1" spans="1:4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O64" s="49"/>
    </row>
    <row r="65" s="9" customFormat="1" spans="1:4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O65" s="49"/>
    </row>
    <row r="66" s="9" customFormat="1" spans="1:4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1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O66" s="49"/>
    </row>
    <row r="67" s="9" customFormat="1" spans="1:4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1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O67" s="49"/>
    </row>
    <row r="68" s="9" customFormat="1" spans="1:4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1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O68" s="49"/>
    </row>
    <row r="69" s="9" customFormat="1" spans="1:4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1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O69" s="49"/>
    </row>
    <row r="70" s="9" customFormat="1" spans="1:4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1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O70" s="49"/>
    </row>
    <row r="71" s="9" customFormat="1" spans="1:4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1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O71" s="49"/>
    </row>
    <row r="72" s="9" customFormat="1" spans="1:4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1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O72" s="49"/>
    </row>
    <row r="73" s="9" customFormat="1" spans="1:4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1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O73" s="49"/>
    </row>
    <row r="74" s="9" customFormat="1" spans="1:4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1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O74" s="49"/>
    </row>
    <row r="75" s="9" customFormat="1" spans="1:4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1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O75" s="49"/>
    </row>
    <row r="76" s="9" customFormat="1" spans="1:4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1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O76" s="49"/>
    </row>
    <row r="77" s="9" customFormat="1" spans="1:4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O77" s="49"/>
    </row>
    <row r="78" s="9" customFormat="1" spans="1:4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O78" s="49"/>
    </row>
    <row r="79" s="9" customFormat="1" spans="1:4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1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O79" s="49"/>
    </row>
    <row r="80" s="9" customFormat="1" spans="1:4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1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O80" s="49"/>
    </row>
    <row r="81" s="9" customFormat="1" spans="1:4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1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O81" s="49"/>
    </row>
    <row r="82" s="9" customFormat="1" spans="1:4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1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O82" s="49"/>
    </row>
    <row r="83" s="9" customFormat="1" spans="1:4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1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O83" s="49"/>
    </row>
    <row r="84" s="9" customFormat="1" spans="1:4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1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O84" s="49"/>
    </row>
    <row r="85" s="9" customFormat="1" spans="1:4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O85" s="49"/>
    </row>
    <row r="86" s="9" customFormat="1" spans="1:4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O86" s="49"/>
    </row>
  </sheetData>
  <mergeCells count="16">
    <mergeCell ref="E1:G1"/>
    <mergeCell ref="J1:L1"/>
    <mergeCell ref="E2:G2"/>
    <mergeCell ref="J2:L2"/>
    <mergeCell ref="E3:G3"/>
    <mergeCell ref="J3:L3"/>
    <mergeCell ref="E4:G4"/>
    <mergeCell ref="J4:L4"/>
    <mergeCell ref="E5:G5"/>
    <mergeCell ref="J5:L5"/>
    <mergeCell ref="E6:G6"/>
    <mergeCell ref="J6:L6"/>
    <mergeCell ref="E7:G7"/>
    <mergeCell ref="J7:L7"/>
    <mergeCell ref="E8:G8"/>
    <mergeCell ref="E9:G9"/>
  </mergeCells>
  <pageMargins left="0.708661417322835" right="0.708661417322835" top="0.748031496062992" bottom="0.748031496062992" header="0.31496062992126" footer="0.31496062992126"/>
  <pageSetup paperSize="9" scale="5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" sqref="B1"/>
    </sheetView>
  </sheetViews>
  <sheetFormatPr defaultColWidth="9" defaultRowHeight="15"/>
  <sheetData/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B1" sqref="B1"/>
    </sheetView>
  </sheetViews>
  <sheetFormatPr defaultColWidth="9" defaultRowHeight="15" outlineLevelCol="1"/>
  <cols>
    <col min="1" max="1" width="42.1428571428571" customWidth="1"/>
    <col min="2" max="2" width="13.4285714285714" customWidth="1"/>
  </cols>
  <sheetData>
    <row r="1" spans="1:2">
      <c r="A1" s="1" t="s">
        <v>80</v>
      </c>
      <c r="B1" s="1" t="s">
        <v>81</v>
      </c>
    </row>
    <row r="2" spans="1:2">
      <c r="A2" s="2" t="s">
        <v>82</v>
      </c>
      <c r="B2" s="3">
        <v>100000</v>
      </c>
    </row>
    <row r="3" spans="1:2">
      <c r="A3" s="2" t="s">
        <v>83</v>
      </c>
      <c r="B3" s="3">
        <v>100000</v>
      </c>
    </row>
    <row r="4" spans="1:2">
      <c r="A4" s="4" t="s">
        <v>84</v>
      </c>
      <c r="B4" s="5">
        <v>300000</v>
      </c>
    </row>
    <row r="5" spans="1:2">
      <c r="A5" s="4" t="s">
        <v>85</v>
      </c>
      <c r="B5" s="5">
        <v>300000</v>
      </c>
    </row>
    <row r="6" spans="1:2">
      <c r="A6" s="4" t="s">
        <v>86</v>
      </c>
      <c r="B6" s="5">
        <v>300000</v>
      </c>
    </row>
    <row r="7" spans="1:2">
      <c r="A7" s="4" t="s">
        <v>87</v>
      </c>
      <c r="B7" s="5">
        <v>60000</v>
      </c>
    </row>
    <row r="8" spans="1:2">
      <c r="A8" s="4" t="s">
        <v>88</v>
      </c>
      <c r="B8" s="5">
        <f>SUM(B9:B19)</f>
        <v>920000</v>
      </c>
    </row>
    <row r="9" spans="1:2">
      <c r="A9" s="6" t="s">
        <v>89</v>
      </c>
      <c r="B9" s="3">
        <v>200000</v>
      </c>
    </row>
    <row r="10" spans="1:2">
      <c r="A10" s="6" t="s">
        <v>90</v>
      </c>
      <c r="B10" s="3">
        <v>100000</v>
      </c>
    </row>
    <row r="11" spans="1:2">
      <c r="A11" s="6" t="s">
        <v>91</v>
      </c>
      <c r="B11" s="3">
        <v>100000</v>
      </c>
    </row>
    <row r="12" spans="1:2">
      <c r="A12" s="6" t="s">
        <v>92</v>
      </c>
      <c r="B12" s="3">
        <v>100000</v>
      </c>
    </row>
    <row r="13" spans="1:2">
      <c r="A13" s="6" t="s">
        <v>93</v>
      </c>
      <c r="B13" s="3">
        <v>50000</v>
      </c>
    </row>
    <row r="14" spans="1:2">
      <c r="A14" s="6" t="s">
        <v>94</v>
      </c>
      <c r="B14" s="3">
        <v>50000</v>
      </c>
    </row>
    <row r="15" spans="1:2">
      <c r="A15" s="6" t="s">
        <v>95</v>
      </c>
      <c r="B15" s="3">
        <v>50000</v>
      </c>
    </row>
    <row r="16" spans="1:2">
      <c r="A16" s="6" t="s">
        <v>96</v>
      </c>
      <c r="B16" s="3">
        <v>100000</v>
      </c>
    </row>
    <row r="17" spans="1:2">
      <c r="A17" s="6" t="s">
        <v>97</v>
      </c>
      <c r="B17" s="3">
        <v>20000</v>
      </c>
    </row>
    <row r="18" spans="1:2">
      <c r="A18" s="6" t="s">
        <v>98</v>
      </c>
      <c r="B18" s="3">
        <v>100000</v>
      </c>
    </row>
    <row r="19" spans="1:2">
      <c r="A19" s="6" t="s">
        <v>99</v>
      </c>
      <c r="B19" s="3">
        <v>50000</v>
      </c>
    </row>
    <row r="20" spans="1:2">
      <c r="A20" s="4" t="s">
        <v>100</v>
      </c>
      <c r="B20" s="5">
        <f>SUM(B2:B8)</f>
        <v>2080000</v>
      </c>
    </row>
    <row r="21" spans="2:2">
      <c r="B21" s="5">
        <f>B20/70</f>
        <v>29714.2857142857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СводныйДуб</vt:lpstr>
      <vt:lpstr>СводныйМск</vt:lpstr>
      <vt:lpstr>Графики</vt:lpstr>
      <vt:lpstr>Разовые расходы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Фёдоров</dc:creator>
  <cp:lastModifiedBy>Ирина</cp:lastModifiedBy>
  <dcterms:created xsi:type="dcterms:W3CDTF">2018-12-06T05:11:00Z</dcterms:created>
  <cp:lastPrinted>2019-01-03T09:34:00Z</cp:lastPrinted>
  <dcterms:modified xsi:type="dcterms:W3CDTF">2023-03-05T09:24:16Z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2BAA6BF0173748259A89C7939357B8E7</vt:lpwstr>
  </property>
  <property fmtid="{D5CDD505-2E9C-101B-9397-08002B2CF9AE}" pid="3" name="KSOProductBuildVer">
    <vt:lpwstr>1049-11.2.0.11486</vt:lpwstr>
  </property>
</Properties>
</file>