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5600" windowHeight="11760" activeTab="2"/>
  </bookViews>
  <sheets>
    <sheet name="Таблица КПЭ - новое" sheetId="4" r:id="rId1"/>
    <sheet name="Выручка и БДР" sheetId="3" r:id="rId2"/>
    <sheet name="Выручка" sheetId="9" r:id="rId3"/>
    <sheet name="Инвестиции" sheetId="5" r:id="rId4"/>
    <sheet name="Штат" sheetId="8" r:id="rId5"/>
  </sheets>
  <externalReferences>
    <externalReference r:id="rId6"/>
    <externalReference r:id="rId7"/>
  </externalReferences>
  <definedNames>
    <definedName name="_ftn1" localSheetId="1">'Выручка и БДР'!#REF!</definedName>
    <definedName name="_ftnref1" localSheetId="1">'Выручка и БДР'!#REF!</definedName>
    <definedName name="газ">[1]энергорес!$B$3</definedName>
    <definedName name="доллар">'[2]параметры модели'!$C$3</definedName>
    <definedName name="доставка_Влад">'[2]параметры модели'!$B$30</definedName>
    <definedName name="доставка_Китай">'[2]параметры модели'!$B$31</definedName>
    <definedName name="коэфцен">'[2]параметры модели'!$B$15</definedName>
    <definedName name="ээ">[1]энергорес!$B$4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45" i="5" l="1"/>
  <c r="E45" i="5"/>
  <c r="C45" i="5"/>
  <c r="B45" i="5"/>
  <c r="F32" i="9" l="1"/>
  <c r="F31" i="5"/>
  <c r="D20" i="9" l="1"/>
  <c r="S10" i="9" l="1"/>
  <c r="F34" i="5" l="1"/>
  <c r="G34" i="5" s="1"/>
  <c r="E6" i="9" l="1"/>
  <c r="E8" i="9" s="1"/>
  <c r="F33" i="5"/>
  <c r="G33" i="5" s="1"/>
  <c r="C28" i="5"/>
  <c r="E7" i="8" l="1"/>
  <c r="D7" i="8"/>
  <c r="C7" i="8"/>
  <c r="E6" i="8"/>
  <c r="D6" i="8"/>
  <c r="C6" i="8"/>
  <c r="B44" i="5" l="1"/>
  <c r="B43" i="5"/>
  <c r="B42" i="5"/>
  <c r="B41" i="5"/>
  <c r="B40" i="5"/>
  <c r="D8" i="9" l="1"/>
  <c r="D13" i="9"/>
  <c r="D18" i="9"/>
  <c r="O60" i="3" l="1"/>
  <c r="N60" i="3"/>
  <c r="M60" i="3"/>
  <c r="L60" i="3"/>
  <c r="K60" i="3"/>
  <c r="J60" i="3"/>
  <c r="I60" i="3"/>
  <c r="H60" i="3"/>
  <c r="G60" i="3"/>
  <c r="F60" i="3"/>
  <c r="O59" i="3"/>
  <c r="N59" i="3"/>
  <c r="M59" i="3"/>
  <c r="L59" i="3"/>
  <c r="K59" i="3"/>
  <c r="J59" i="3"/>
  <c r="I59" i="3"/>
  <c r="H59" i="3"/>
  <c r="G59" i="3"/>
  <c r="F59" i="3"/>
  <c r="E60" i="3"/>
  <c r="E59" i="3"/>
  <c r="D59" i="3"/>
  <c r="D60" i="3"/>
  <c r="G19" i="8" l="1"/>
  <c r="G18" i="8"/>
  <c r="G15" i="8"/>
  <c r="G14" i="8"/>
  <c r="G11" i="8"/>
  <c r="G10" i="8"/>
  <c r="G7" i="8"/>
  <c r="G6" i="8"/>
  <c r="D9" i="3" l="1"/>
  <c r="D15" i="3" s="1"/>
  <c r="D8" i="3"/>
  <c r="D14" i="3" s="1"/>
  <c r="D7" i="3"/>
  <c r="D13" i="3" s="1"/>
  <c r="D23" i="9"/>
  <c r="O20" i="9"/>
  <c r="N20" i="9"/>
  <c r="M20" i="9"/>
  <c r="L20" i="9"/>
  <c r="K20" i="9"/>
  <c r="J20" i="9"/>
  <c r="I20" i="9"/>
  <c r="H20" i="9"/>
  <c r="G20" i="9"/>
  <c r="F20" i="9"/>
  <c r="E20" i="9"/>
  <c r="Q23" i="9"/>
  <c r="Q22" i="9"/>
  <c r="Q21" i="9"/>
  <c r="Q20" i="9"/>
  <c r="Q19" i="9"/>
  <c r="Q18" i="9"/>
  <c r="Q17" i="9"/>
  <c r="Q16" i="9"/>
  <c r="E16" i="9"/>
  <c r="U15" i="9"/>
  <c r="T15" i="9"/>
  <c r="S15" i="9"/>
  <c r="Q15" i="9"/>
  <c r="Q14" i="9"/>
  <c r="Q13" i="9"/>
  <c r="Q12" i="9"/>
  <c r="Q11" i="9"/>
  <c r="E11" i="9"/>
  <c r="U10" i="9"/>
  <c r="T10" i="9"/>
  <c r="Q10" i="9"/>
  <c r="Q9" i="9"/>
  <c r="Q8" i="9"/>
  <c r="Q4" i="9"/>
  <c r="Q7" i="9"/>
  <c r="Q6" i="9"/>
  <c r="Q5" i="9"/>
  <c r="U5" i="9"/>
  <c r="T5" i="9"/>
  <c r="S5" i="9"/>
  <c r="U20" i="9" l="1"/>
  <c r="J6" i="4" a="1"/>
  <c r="J6" i="4" s="1"/>
  <c r="F11" i="9"/>
  <c r="E13" i="9"/>
  <c r="F16" i="9"/>
  <c r="E18" i="9"/>
  <c r="D6" i="3"/>
  <c r="S20" i="9"/>
  <c r="T20" i="9"/>
  <c r="J8" i="4" l="1"/>
  <c r="J13" i="4"/>
  <c r="J7" i="4"/>
  <c r="J14" i="4"/>
  <c r="J11" i="4"/>
  <c r="J16" i="4"/>
  <c r="J12" i="4"/>
  <c r="J17" i="4"/>
  <c r="J15" i="4"/>
  <c r="J10" i="4"/>
  <c r="J9" i="4"/>
  <c r="J26" i="4" s="1"/>
  <c r="G16" i="9"/>
  <c r="F18" i="9"/>
  <c r="F9" i="3" s="1"/>
  <c r="F15" i="3" s="1"/>
  <c r="E8" i="3"/>
  <c r="G11" i="9"/>
  <c r="F13" i="9"/>
  <c r="F8" i="3" s="1"/>
  <c r="F14" i="3" s="1"/>
  <c r="E9" i="3"/>
  <c r="D12" i="3"/>
  <c r="D55" i="3"/>
  <c r="D16" i="3"/>
  <c r="B54" i="5"/>
  <c r="B63" i="5" s="1"/>
  <c r="B53" i="5"/>
  <c r="B62" i="5" s="1"/>
  <c r="B52" i="5"/>
  <c r="B61" i="5" s="1"/>
  <c r="B51" i="5"/>
  <c r="B60" i="5" s="1"/>
  <c r="B50" i="5"/>
  <c r="B59" i="5" s="1"/>
  <c r="B49" i="5"/>
  <c r="B58" i="5" s="1"/>
  <c r="E5" i="8"/>
  <c r="D5" i="8"/>
  <c r="C5" i="8"/>
  <c r="J28" i="4" l="1"/>
  <c r="J27" i="4"/>
  <c r="E15" i="3"/>
  <c r="E14" i="3"/>
  <c r="F6" i="9"/>
  <c r="H11" i="9"/>
  <c r="G13" i="9"/>
  <c r="G8" i="3" s="1"/>
  <c r="G14" i="3" s="1"/>
  <c r="H16" i="9"/>
  <c r="G18" i="9"/>
  <c r="D57" i="3"/>
  <c r="E17" i="4"/>
  <c r="V45" i="3"/>
  <c r="U45" i="3"/>
  <c r="T45" i="3"/>
  <c r="G6" i="9" l="1"/>
  <c r="F8" i="9"/>
  <c r="I11" i="9"/>
  <c r="H13" i="9"/>
  <c r="T8" i="3"/>
  <c r="G9" i="3"/>
  <c r="S18" i="9"/>
  <c r="S16" i="9" s="1"/>
  <c r="S13" i="9"/>
  <c r="S11" i="9" s="1"/>
  <c r="I16" i="9"/>
  <c r="H18" i="9"/>
  <c r="E7" i="3"/>
  <c r="E23" i="9"/>
  <c r="T14" i="3"/>
  <c r="W45" i="3"/>
  <c r="C54" i="5"/>
  <c r="C44" i="5"/>
  <c r="C53" i="5" s="1"/>
  <c r="C43" i="5"/>
  <c r="C52" i="5" s="1"/>
  <c r="C42" i="5"/>
  <c r="C51" i="5" s="1"/>
  <c r="C41" i="5"/>
  <c r="C50" i="5" s="1"/>
  <c r="C40" i="5"/>
  <c r="C49" i="5" s="1"/>
  <c r="S15" i="8"/>
  <c r="S19" i="8" s="1"/>
  <c r="O24" i="3" s="1"/>
  <c r="R15" i="8"/>
  <c r="R19" i="8" s="1"/>
  <c r="N24" i="3" s="1"/>
  <c r="Q15" i="8"/>
  <c r="Q19" i="8" s="1"/>
  <c r="M24" i="3" s="1"/>
  <c r="P15" i="8"/>
  <c r="O15" i="8"/>
  <c r="O19" i="8" s="1"/>
  <c r="K24" i="3" s="1"/>
  <c r="N15" i="8"/>
  <c r="N19" i="8" s="1"/>
  <c r="J24" i="3" s="1"/>
  <c r="M15" i="8"/>
  <c r="M19" i="8" s="1"/>
  <c r="I24" i="3" s="1"/>
  <c r="L15" i="8"/>
  <c r="K15" i="8"/>
  <c r="K19" i="8" s="1"/>
  <c r="G24" i="3" s="1"/>
  <c r="J15" i="8"/>
  <c r="J19" i="8" s="1"/>
  <c r="F24" i="3" s="1"/>
  <c r="I15" i="8"/>
  <c r="I19" i="8" s="1"/>
  <c r="E24" i="3" s="1"/>
  <c r="S14" i="8"/>
  <c r="S18" i="8" s="1"/>
  <c r="R14" i="8"/>
  <c r="R18" i="8" s="1"/>
  <c r="N18" i="3" s="1"/>
  <c r="Q14" i="8"/>
  <c r="Q18" i="8" s="1"/>
  <c r="M18" i="3" s="1"/>
  <c r="P14" i="8"/>
  <c r="L17" i="3" s="1"/>
  <c r="O14" i="8"/>
  <c r="O18" i="8" s="1"/>
  <c r="N14" i="8"/>
  <c r="N18" i="8" s="1"/>
  <c r="J18" i="3" s="1"/>
  <c r="M14" i="8"/>
  <c r="M18" i="8" s="1"/>
  <c r="I18" i="3" s="1"/>
  <c r="L14" i="8"/>
  <c r="H17" i="3" s="1"/>
  <c r="K14" i="8"/>
  <c r="K18" i="8" s="1"/>
  <c r="G18" i="3" s="1"/>
  <c r="J14" i="8"/>
  <c r="J18" i="8" s="1"/>
  <c r="F18" i="3" s="1"/>
  <c r="I14" i="8"/>
  <c r="I18" i="8" s="1"/>
  <c r="E18" i="3" s="1"/>
  <c r="H15" i="8"/>
  <c r="D23" i="3" s="1"/>
  <c r="H14" i="8"/>
  <c r="D17" i="3" s="1"/>
  <c r="O17" i="8" l="1"/>
  <c r="S17" i="8"/>
  <c r="D15" i="8"/>
  <c r="D11" i="8" s="1"/>
  <c r="P19" i="8"/>
  <c r="E15" i="8"/>
  <c r="E11" i="8" s="1"/>
  <c r="H23" i="3"/>
  <c r="L23" i="3"/>
  <c r="J16" i="9"/>
  <c r="I18" i="9"/>
  <c r="I9" i="3" s="1"/>
  <c r="I15" i="3" s="1"/>
  <c r="L18" i="8"/>
  <c r="D14" i="8"/>
  <c r="D10" i="8" s="1"/>
  <c r="P18" i="8"/>
  <c r="E14" i="8"/>
  <c r="E10" i="8" s="1"/>
  <c r="G17" i="3"/>
  <c r="K17" i="3"/>
  <c r="O17" i="3"/>
  <c r="G23" i="3"/>
  <c r="K23" i="3"/>
  <c r="O23" i="3"/>
  <c r="H9" i="3"/>
  <c r="H8" i="3"/>
  <c r="J11" i="9"/>
  <c r="I13" i="9"/>
  <c r="I8" i="3" s="1"/>
  <c r="I14" i="3" s="1"/>
  <c r="L19" i="8"/>
  <c r="H19" i="8"/>
  <c r="C15" i="8"/>
  <c r="C11" i="8" s="1"/>
  <c r="E17" i="3"/>
  <c r="I17" i="3"/>
  <c r="M17" i="3"/>
  <c r="V17" i="3" s="1"/>
  <c r="E23" i="3"/>
  <c r="I23" i="3"/>
  <c r="M23" i="3"/>
  <c r="E21" i="9"/>
  <c r="G15" i="3"/>
  <c r="T15" i="3" s="1"/>
  <c r="T9" i="3"/>
  <c r="F7" i="3"/>
  <c r="F23" i="9"/>
  <c r="F21" i="9" s="1"/>
  <c r="H18" i="8"/>
  <c r="H17" i="8" s="1"/>
  <c r="C14" i="8"/>
  <c r="F17" i="3"/>
  <c r="J17" i="3"/>
  <c r="U17" i="3" s="1"/>
  <c r="N17" i="3"/>
  <c r="K18" i="3"/>
  <c r="O18" i="3"/>
  <c r="F23" i="3"/>
  <c r="J23" i="3"/>
  <c r="N23" i="3"/>
  <c r="E13" i="3"/>
  <c r="E6" i="3"/>
  <c r="H6" i="9"/>
  <c r="G8" i="9"/>
  <c r="E58" i="5"/>
  <c r="D58" i="5"/>
  <c r="F58" i="5"/>
  <c r="C58" i="5"/>
  <c r="E59" i="5"/>
  <c r="C59" i="5"/>
  <c r="F59" i="5"/>
  <c r="D59" i="5"/>
  <c r="E63" i="5"/>
  <c r="C63" i="5"/>
  <c r="F63" i="5"/>
  <c r="D63" i="5"/>
  <c r="E61" i="5"/>
  <c r="F61" i="5"/>
  <c r="D61" i="5"/>
  <c r="C61" i="5"/>
  <c r="E62" i="5"/>
  <c r="F62" i="5"/>
  <c r="D62" i="5"/>
  <c r="C62" i="5"/>
  <c r="E60" i="5"/>
  <c r="F60" i="5"/>
  <c r="D60" i="5"/>
  <c r="C60" i="5"/>
  <c r="T23" i="3"/>
  <c r="U23" i="3"/>
  <c r="L17" i="8"/>
  <c r="M17" i="8"/>
  <c r="I17" i="8"/>
  <c r="R17" i="8"/>
  <c r="Q17" i="8"/>
  <c r="J17" i="8"/>
  <c r="N17" i="8"/>
  <c r="K17" i="8"/>
  <c r="S5" i="8"/>
  <c r="R5" i="8"/>
  <c r="Q5" i="8"/>
  <c r="P5" i="8"/>
  <c r="O5" i="8"/>
  <c r="N5" i="8"/>
  <c r="M5" i="8"/>
  <c r="L5" i="8"/>
  <c r="K5" i="8"/>
  <c r="J5" i="8"/>
  <c r="I5" i="8"/>
  <c r="H5" i="8"/>
  <c r="E16" i="4"/>
  <c r="E15" i="4"/>
  <c r="E14" i="4"/>
  <c r="E13" i="4"/>
  <c r="E12" i="4"/>
  <c r="E11" i="4"/>
  <c r="E10" i="4"/>
  <c r="E9" i="4"/>
  <c r="E8" i="4"/>
  <c r="E7" i="4"/>
  <c r="E6" i="4"/>
  <c r="P17" i="3" l="1"/>
  <c r="V23" i="3"/>
  <c r="P23" i="3"/>
  <c r="C9" i="4"/>
  <c r="K9" i="8"/>
  <c r="C13" i="4"/>
  <c r="O9" i="8"/>
  <c r="I6" i="9"/>
  <c r="H8" i="9"/>
  <c r="C6" i="4"/>
  <c r="H9" i="8"/>
  <c r="C10" i="4"/>
  <c r="L9" i="8"/>
  <c r="K11" i="9"/>
  <c r="J13" i="9"/>
  <c r="J8" i="3" s="1"/>
  <c r="J14" i="3" s="1"/>
  <c r="E18" i="8"/>
  <c r="L18" i="3"/>
  <c r="V18" i="3" s="1"/>
  <c r="C7" i="4"/>
  <c r="I9" i="8"/>
  <c r="C11" i="4"/>
  <c r="M9" i="8"/>
  <c r="C15" i="4"/>
  <c r="Q9" i="8"/>
  <c r="P17" i="8"/>
  <c r="T17" i="3"/>
  <c r="E16" i="3"/>
  <c r="E55" i="3"/>
  <c r="C18" i="8"/>
  <c r="D18" i="3"/>
  <c r="D11" i="3" s="1"/>
  <c r="D10" i="3" s="1"/>
  <c r="C8" i="4"/>
  <c r="J9" i="8"/>
  <c r="C12" i="4"/>
  <c r="N9" i="8"/>
  <c r="C16" i="4"/>
  <c r="R9" i="8"/>
  <c r="G23" i="9"/>
  <c r="G7" i="3"/>
  <c r="D19" i="8"/>
  <c r="H24" i="3"/>
  <c r="U24" i="3" s="1"/>
  <c r="H14" i="3"/>
  <c r="D18" i="8"/>
  <c r="H18" i="3"/>
  <c r="U18" i="3" s="1"/>
  <c r="F13" i="3"/>
  <c r="F12" i="3" s="1"/>
  <c r="F6" i="3"/>
  <c r="H15" i="3"/>
  <c r="K16" i="9"/>
  <c r="J18" i="9"/>
  <c r="E19" i="8"/>
  <c r="L24" i="3"/>
  <c r="V24" i="3" s="1"/>
  <c r="C17" i="4"/>
  <c r="S9" i="8"/>
  <c r="E12" i="3"/>
  <c r="C14" i="4"/>
  <c r="P9" i="8"/>
  <c r="C19" i="8"/>
  <c r="D24" i="3"/>
  <c r="E28" i="4"/>
  <c r="E27" i="4"/>
  <c r="E26" i="4"/>
  <c r="E18" i="4"/>
  <c r="C28" i="4"/>
  <c r="C26" i="4"/>
  <c r="C27" i="4" l="1"/>
  <c r="G21" i="9"/>
  <c r="S23" i="9"/>
  <c r="S21" i="9" s="1"/>
  <c r="J9" i="3"/>
  <c r="F16" i="3"/>
  <c r="F57" i="3" s="1"/>
  <c r="F55" i="3"/>
  <c r="L16" i="9"/>
  <c r="K18" i="9"/>
  <c r="K9" i="3" s="1"/>
  <c r="K15" i="3" s="1"/>
  <c r="F11" i="3"/>
  <c r="L11" i="9"/>
  <c r="K13" i="9"/>
  <c r="T24" i="3"/>
  <c r="P24" i="3"/>
  <c r="G13" i="3"/>
  <c r="G12" i="3" s="1"/>
  <c r="G6" i="3"/>
  <c r="P18" i="3"/>
  <c r="T18" i="3"/>
  <c r="E57" i="3"/>
  <c r="E11" i="3"/>
  <c r="J6" i="9"/>
  <c r="I8" i="9"/>
  <c r="H23" i="9"/>
  <c r="H7" i="3"/>
  <c r="J29" i="4"/>
  <c r="E29" i="4"/>
  <c r="J18" i="4"/>
  <c r="H21" i="9" l="1"/>
  <c r="G16" i="3"/>
  <c r="G57" i="3" s="1"/>
  <c r="G55" i="3"/>
  <c r="I7" i="3"/>
  <c r="I23" i="9"/>
  <c r="I21" i="9" s="1"/>
  <c r="G11" i="3"/>
  <c r="K6" i="9"/>
  <c r="J8" i="9"/>
  <c r="K8" i="3"/>
  <c r="T13" i="9"/>
  <c r="T11" i="9" s="1"/>
  <c r="T12" i="9" s="1"/>
  <c r="T18" i="9"/>
  <c r="T16" i="9" s="1"/>
  <c r="T17" i="9" s="1"/>
  <c r="H13" i="3"/>
  <c r="H6" i="3"/>
  <c r="T13" i="3"/>
  <c r="M11" i="9"/>
  <c r="L13" i="9"/>
  <c r="M16" i="9"/>
  <c r="L18" i="9"/>
  <c r="J15" i="3"/>
  <c r="U15" i="3" s="1"/>
  <c r="U9" i="3"/>
  <c r="J30" i="4"/>
  <c r="E30" i="4"/>
  <c r="T56" i="3"/>
  <c r="W56" i="3" s="1"/>
  <c r="N11" i="9" l="1"/>
  <c r="M13" i="9"/>
  <c r="M8" i="3" s="1"/>
  <c r="M14" i="3" s="1"/>
  <c r="H12" i="3"/>
  <c r="L9" i="3"/>
  <c r="L6" i="9"/>
  <c r="K8" i="9"/>
  <c r="I6" i="3"/>
  <c r="I13" i="3"/>
  <c r="I12" i="3" s="1"/>
  <c r="N16" i="9"/>
  <c r="M18" i="9"/>
  <c r="M9" i="3" s="1"/>
  <c r="M15" i="3" s="1"/>
  <c r="L8" i="3"/>
  <c r="K14" i="3"/>
  <c r="U14" i="3" s="1"/>
  <c r="U8" i="3"/>
  <c r="J7" i="3"/>
  <c r="J23" i="9"/>
  <c r="J21" i="9" s="1"/>
  <c r="H16" i="3"/>
  <c r="H55" i="3"/>
  <c r="D44" i="5"/>
  <c r="E44" i="5" s="1"/>
  <c r="D43" i="5"/>
  <c r="E43" i="5" s="1"/>
  <c r="D42" i="5"/>
  <c r="E42" i="5" s="1"/>
  <c r="F35" i="5"/>
  <c r="G35" i="5" s="1"/>
  <c r="F32" i="5"/>
  <c r="G32" i="5" s="1"/>
  <c r="F30" i="5"/>
  <c r="F27" i="5"/>
  <c r="F25" i="5"/>
  <c r="F24" i="5"/>
  <c r="F23" i="5"/>
  <c r="F22" i="5"/>
  <c r="F21" i="5"/>
  <c r="J13" i="3" l="1"/>
  <c r="J12" i="3" s="1"/>
  <c r="J6" i="3"/>
  <c r="L14" i="3"/>
  <c r="O16" i="9"/>
  <c r="O18" i="9" s="1"/>
  <c r="O9" i="3" s="1"/>
  <c r="O15" i="3" s="1"/>
  <c r="N18" i="9"/>
  <c r="K7" i="3"/>
  <c r="K23" i="9"/>
  <c r="H11" i="3"/>
  <c r="H57" i="3"/>
  <c r="M6" i="9"/>
  <c r="L8" i="9"/>
  <c r="I55" i="3"/>
  <c r="I16" i="3"/>
  <c r="I11" i="3" s="1"/>
  <c r="L15" i="3"/>
  <c r="O11" i="9"/>
  <c r="O13" i="9" s="1"/>
  <c r="O8" i="3" s="1"/>
  <c r="O14" i="3" s="1"/>
  <c r="N13" i="9"/>
  <c r="N8" i="3" s="1"/>
  <c r="E52" i="5"/>
  <c r="D52" i="5"/>
  <c r="E53" i="5"/>
  <c r="D53" i="5"/>
  <c r="E51" i="5"/>
  <c r="D51" i="5"/>
  <c r="E54" i="5"/>
  <c r="D54" i="5"/>
  <c r="C46" i="5"/>
  <c r="D40" i="5"/>
  <c r="D41" i="5"/>
  <c r="E29" i="5"/>
  <c r="D29" i="5"/>
  <c r="C29" i="5"/>
  <c r="V8" i="3" l="1"/>
  <c r="W8" i="3" s="1"/>
  <c r="I57" i="3"/>
  <c r="C36" i="5"/>
  <c r="D50" i="5"/>
  <c r="J59" i="5" s="1"/>
  <c r="E41" i="5"/>
  <c r="E50" i="5" s="1"/>
  <c r="U13" i="9"/>
  <c r="U11" i="9" s="1"/>
  <c r="U12" i="9" s="1"/>
  <c r="K21" i="9"/>
  <c r="T23" i="9"/>
  <c r="T21" i="9" s="1"/>
  <c r="T22" i="9" s="1"/>
  <c r="N14" i="3"/>
  <c r="P8" i="3"/>
  <c r="N6" i="9"/>
  <c r="M8" i="9"/>
  <c r="D49" i="5"/>
  <c r="I58" i="5" s="1"/>
  <c r="E40" i="5"/>
  <c r="E49" i="5" s="1"/>
  <c r="K13" i="3"/>
  <c r="K12" i="3" s="1"/>
  <c r="K6" i="3"/>
  <c r="V14" i="3"/>
  <c r="W14" i="3" s="1"/>
  <c r="L23" i="9"/>
  <c r="L7" i="3"/>
  <c r="N9" i="3"/>
  <c r="U18" i="9"/>
  <c r="U16" i="9" s="1"/>
  <c r="U17" i="9" s="1"/>
  <c r="J16" i="3"/>
  <c r="J57" i="3" s="1"/>
  <c r="J55" i="3"/>
  <c r="I63" i="5"/>
  <c r="J63" i="5"/>
  <c r="H63" i="5"/>
  <c r="G63" i="5"/>
  <c r="I59" i="5"/>
  <c r="H59" i="5"/>
  <c r="M62" i="5"/>
  <c r="K62" i="5"/>
  <c r="N62" i="5"/>
  <c r="L62" i="5"/>
  <c r="J58" i="5"/>
  <c r="I60" i="5"/>
  <c r="J60" i="5"/>
  <c r="H60" i="5"/>
  <c r="G60" i="5"/>
  <c r="I61" i="5"/>
  <c r="J61" i="5"/>
  <c r="H61" i="5"/>
  <c r="G61" i="5"/>
  <c r="I62" i="5"/>
  <c r="G62" i="5"/>
  <c r="J62" i="5"/>
  <c r="H62" i="5"/>
  <c r="M63" i="5"/>
  <c r="K63" i="5"/>
  <c r="N63" i="5"/>
  <c r="L63" i="5"/>
  <c r="M60" i="5"/>
  <c r="K60" i="5"/>
  <c r="N60" i="5"/>
  <c r="L60" i="5"/>
  <c r="M61" i="5"/>
  <c r="K61" i="5"/>
  <c r="N61" i="5"/>
  <c r="L61" i="5"/>
  <c r="F64" i="5"/>
  <c r="G26" i="3" s="1"/>
  <c r="G22" i="3" s="1"/>
  <c r="C64" i="5"/>
  <c r="D26" i="3" s="1"/>
  <c r="D22" i="3" s="1"/>
  <c r="E64" i="5"/>
  <c r="F26" i="3" s="1"/>
  <c r="F22" i="3" s="1"/>
  <c r="D64" i="5"/>
  <c r="E26" i="3" s="1"/>
  <c r="E22" i="3" s="1"/>
  <c r="C55" i="5"/>
  <c r="D46" i="5"/>
  <c r="F29" i="5"/>
  <c r="G29" i="5" s="1"/>
  <c r="G58" i="5" l="1"/>
  <c r="D55" i="5"/>
  <c r="G59" i="5"/>
  <c r="H58" i="5"/>
  <c r="C10" i="5"/>
  <c r="C37" i="5" s="1"/>
  <c r="J64" i="5"/>
  <c r="K26" i="3" s="1"/>
  <c r="K22" i="3" s="1"/>
  <c r="L13" i="3"/>
  <c r="L6" i="3"/>
  <c r="K16" i="3"/>
  <c r="K11" i="3" s="1"/>
  <c r="K55" i="3"/>
  <c r="L21" i="9"/>
  <c r="U13" i="3"/>
  <c r="J11" i="3"/>
  <c r="N15" i="3"/>
  <c r="V15" i="3" s="1"/>
  <c r="W15" i="3" s="1"/>
  <c r="V9" i="3"/>
  <c r="W9" i="3" s="1"/>
  <c r="O6" i="9"/>
  <c r="O8" i="9" s="1"/>
  <c r="N8" i="9"/>
  <c r="P9" i="3"/>
  <c r="M7" i="3"/>
  <c r="M23" i="9"/>
  <c r="M21" i="9" s="1"/>
  <c r="G64" i="5"/>
  <c r="H26" i="3" s="1"/>
  <c r="H22" i="3" s="1"/>
  <c r="H64" i="5"/>
  <c r="I26" i="3" s="1"/>
  <c r="I22" i="3" s="1"/>
  <c r="M58" i="5"/>
  <c r="L58" i="5"/>
  <c r="N58" i="5"/>
  <c r="K58" i="5"/>
  <c r="M59" i="5"/>
  <c r="K59" i="5"/>
  <c r="N59" i="5"/>
  <c r="L59" i="5"/>
  <c r="I64" i="5"/>
  <c r="J26" i="3" s="1"/>
  <c r="J22" i="3" s="1"/>
  <c r="E46" i="5"/>
  <c r="E55" i="5"/>
  <c r="G22" i="5"/>
  <c r="G23" i="5"/>
  <c r="G24" i="5"/>
  <c r="G21" i="5"/>
  <c r="K57" i="3" l="1"/>
  <c r="M13" i="3"/>
  <c r="M12" i="3" s="1"/>
  <c r="M6" i="3"/>
  <c r="N7" i="3"/>
  <c r="N23" i="9"/>
  <c r="N21" i="9" s="1"/>
  <c r="L16" i="3"/>
  <c r="L55" i="3"/>
  <c r="O23" i="9"/>
  <c r="O21" i="9" s="1"/>
  <c r="O7" i="3"/>
  <c r="L12" i="3"/>
  <c r="K64" i="5"/>
  <c r="L26" i="3" s="1"/>
  <c r="L22" i="3" s="1"/>
  <c r="L64" i="5"/>
  <c r="M26" i="3" s="1"/>
  <c r="M22" i="3" s="1"/>
  <c r="M64" i="5"/>
  <c r="N26" i="3" s="1"/>
  <c r="N22" i="3" s="1"/>
  <c r="N64" i="5"/>
  <c r="O26" i="3" s="1"/>
  <c r="O22" i="3" s="1"/>
  <c r="G25" i="5"/>
  <c r="G27" i="5"/>
  <c r="L57" i="3" l="1"/>
  <c r="L11" i="3"/>
  <c r="N13" i="3"/>
  <c r="N6" i="3"/>
  <c r="U23" i="9"/>
  <c r="U21" i="9" s="1"/>
  <c r="U22" i="9" s="1"/>
  <c r="M16" i="3"/>
  <c r="M57" i="3" s="1"/>
  <c r="M55" i="3"/>
  <c r="O13" i="3"/>
  <c r="O12" i="3" s="1"/>
  <c r="O6" i="3"/>
  <c r="P7" i="3"/>
  <c r="E28" i="5"/>
  <c r="E19" i="5"/>
  <c r="D19" i="5"/>
  <c r="D28" i="5"/>
  <c r="M11" i="3" l="1"/>
  <c r="N16" i="3"/>
  <c r="N55" i="3"/>
  <c r="N12" i="3"/>
  <c r="N57" i="3" s="1"/>
  <c r="V13" i="3"/>
  <c r="W13" i="3" s="1"/>
  <c r="O16" i="3"/>
  <c r="O11" i="3" s="1"/>
  <c r="O55" i="3"/>
  <c r="F10" i="5"/>
  <c r="F8" i="5"/>
  <c r="H8" i="5"/>
  <c r="H10" i="5"/>
  <c r="G30" i="5"/>
  <c r="E36" i="5"/>
  <c r="D36" i="5"/>
  <c r="N11" i="3" l="1"/>
  <c r="O57" i="3"/>
  <c r="H9" i="5"/>
  <c r="K14" i="5"/>
  <c r="N14" i="5"/>
  <c r="M14" i="5"/>
  <c r="L14" i="5"/>
  <c r="G14" i="5"/>
  <c r="J14" i="5"/>
  <c r="I14" i="5"/>
  <c r="H14" i="5"/>
  <c r="F9" i="5"/>
  <c r="E10" i="5"/>
  <c r="E8" i="5"/>
  <c r="G8" i="5"/>
  <c r="G10" i="5"/>
  <c r="D37" i="5"/>
  <c r="T8" i="9" l="1"/>
  <c r="T6" i="9" s="1"/>
  <c r="U8" i="9"/>
  <c r="U6" i="9" s="1"/>
  <c r="S8" i="9"/>
  <c r="S6" i="9" s="1"/>
  <c r="N16" i="5"/>
  <c r="O66" i="3" s="1"/>
  <c r="O58" i="3" s="1"/>
  <c r="D17" i="4"/>
  <c r="D13" i="4"/>
  <c r="J16" i="5"/>
  <c r="K66" i="3" s="1"/>
  <c r="K58" i="3" s="1"/>
  <c r="M16" i="5"/>
  <c r="N66" i="3" s="1"/>
  <c r="N58" i="3" s="1"/>
  <c r="D16" i="4"/>
  <c r="D10" i="4"/>
  <c r="G16" i="5"/>
  <c r="D11" i="4"/>
  <c r="H16" i="5"/>
  <c r="I66" i="3" s="1"/>
  <c r="I58" i="3" s="1"/>
  <c r="D14" i="4"/>
  <c r="K16" i="5"/>
  <c r="D12" i="4"/>
  <c r="I16" i="5"/>
  <c r="J66" i="3" s="1"/>
  <c r="J58" i="3" s="1"/>
  <c r="L16" i="5"/>
  <c r="M66" i="3" s="1"/>
  <c r="M58" i="3" s="1"/>
  <c r="D15" i="4"/>
  <c r="G9" i="5"/>
  <c r="E9" i="5"/>
  <c r="E37" i="5"/>
  <c r="U7" i="9" l="1"/>
  <c r="D28" i="4"/>
  <c r="D27" i="4"/>
  <c r="T7" i="9"/>
  <c r="T7" i="3"/>
  <c r="L66" i="3"/>
  <c r="L58" i="3" s="1"/>
  <c r="N17" i="5"/>
  <c r="H66" i="3"/>
  <c r="H58" i="3" s="1"/>
  <c r="J17" i="5"/>
  <c r="T6" i="3" l="1"/>
  <c r="X9" i="3"/>
  <c r="V7" i="3" l="1"/>
  <c r="U7" i="3"/>
  <c r="I6" i="4" l="1" a="1"/>
  <c r="I6" i="4" s="1"/>
  <c r="W7" i="3"/>
  <c r="X7" i="3" s="1"/>
  <c r="U6" i="3"/>
  <c r="V6" i="3"/>
  <c r="P6" i="3"/>
  <c r="I8" i="4" l="1"/>
  <c r="I12" i="4"/>
  <c r="I14" i="4"/>
  <c r="I9" i="4"/>
  <c r="I16" i="4"/>
  <c r="I13" i="4"/>
  <c r="I17" i="4"/>
  <c r="I7" i="4"/>
  <c r="I15" i="4"/>
  <c r="I10" i="4"/>
  <c r="I11" i="4"/>
  <c r="W6" i="3"/>
  <c r="X6" i="3" s="1"/>
  <c r="I26" i="4" l="1"/>
  <c r="I28" i="4"/>
  <c r="I27" i="4"/>
  <c r="I18" i="4"/>
  <c r="I22" i="4" s="1"/>
  <c r="I29" i="4" l="1"/>
  <c r="I30" i="4" s="1"/>
  <c r="W17" i="3" l="1"/>
  <c r="X17" i="3" s="1"/>
  <c r="D13" i="8"/>
  <c r="D9" i="8" s="1"/>
  <c r="W18" i="3" l="1"/>
  <c r="X18" i="3" s="1"/>
  <c r="E13" i="8"/>
  <c r="E9" i="8" s="1"/>
  <c r="D17" i="8"/>
  <c r="J63" i="3" l="1"/>
  <c r="H63" i="3"/>
  <c r="I63" i="3"/>
  <c r="K63" i="3"/>
  <c r="O63" i="3"/>
  <c r="L63" i="3"/>
  <c r="N63" i="3"/>
  <c r="M63" i="3"/>
  <c r="E17" i="8"/>
  <c r="V55" i="3" l="1"/>
  <c r="W23" i="3"/>
  <c r="X23" i="3" s="1"/>
  <c r="C19" i="5"/>
  <c r="U55" i="3" l="1"/>
  <c r="W24" i="3"/>
  <c r="X24" i="3" s="1"/>
  <c r="F28" i="5" l="1"/>
  <c r="G28" i="5" s="1"/>
  <c r="D10" i="5"/>
  <c r="C14" i="5" s="1"/>
  <c r="C16" i="5" s="1"/>
  <c r="D8" i="5"/>
  <c r="J8" i="5" s="1"/>
  <c r="D14" i="5" l="1"/>
  <c r="D7" i="4" s="1"/>
  <c r="D6" i="4"/>
  <c r="F14" i="5"/>
  <c r="E14" i="5"/>
  <c r="F36" i="5"/>
  <c r="G36" i="5" s="1"/>
  <c r="D9" i="5"/>
  <c r="J9" i="5" s="1"/>
  <c r="J10" i="5" s="1"/>
  <c r="C8" i="5"/>
  <c r="I8" i="5" l="1"/>
  <c r="C9" i="5"/>
  <c r="I9" i="5" s="1"/>
  <c r="I10" i="5" s="1"/>
  <c r="D8" i="4"/>
  <c r="E16" i="5"/>
  <c r="F66" i="3" s="1"/>
  <c r="F58" i="3" s="1"/>
  <c r="F16" i="5"/>
  <c r="G66" i="3" s="1"/>
  <c r="G58" i="3" s="1"/>
  <c r="D9" i="4"/>
  <c r="D16" i="5"/>
  <c r="E66" i="3" s="1"/>
  <c r="E58" i="3" s="1"/>
  <c r="D26" i="4" l="1"/>
  <c r="D29" i="4" s="1"/>
  <c r="D18" i="4"/>
  <c r="D22" i="4" s="1"/>
  <c r="D66" i="3"/>
  <c r="D58" i="3" s="1"/>
  <c r="F17" i="5"/>
  <c r="D30" i="4" l="1"/>
  <c r="F63" i="3" l="1"/>
  <c r="E63" i="3"/>
  <c r="D63" i="3" l="1"/>
  <c r="G63" i="3"/>
  <c r="T55" i="3" l="1"/>
  <c r="W55" i="3" s="1"/>
  <c r="F37" i="5" l="1"/>
  <c r="U12" i="3" l="1"/>
  <c r="V12" i="3"/>
  <c r="T12" i="3"/>
  <c r="W12" i="3" l="1"/>
  <c r="P16" i="3"/>
  <c r="P15" i="3" s="1"/>
  <c r="T16" i="3"/>
  <c r="V16" i="3"/>
  <c r="U16" i="3"/>
  <c r="P19" i="3"/>
  <c r="U19" i="3"/>
  <c r="T19" i="3"/>
  <c r="V19" i="3"/>
  <c r="P20" i="3"/>
  <c r="U20" i="3"/>
  <c r="T20" i="3"/>
  <c r="V20" i="3"/>
  <c r="P25" i="3"/>
  <c r="V25" i="3"/>
  <c r="U25" i="3"/>
  <c r="T25" i="3"/>
  <c r="P14" i="3" l="1"/>
  <c r="X15" i="3"/>
  <c r="W25" i="3"/>
  <c r="X25" i="3" s="1"/>
  <c r="F56" i="3"/>
  <c r="F54" i="3" s="1"/>
  <c r="F65" i="3" s="1"/>
  <c r="W20" i="3"/>
  <c r="X20" i="3" s="1"/>
  <c r="W19" i="3"/>
  <c r="X19" i="3" s="1"/>
  <c r="J56" i="3"/>
  <c r="J54" i="3" s="1"/>
  <c r="J65" i="3" s="1"/>
  <c r="O56" i="3"/>
  <c r="O54" i="3" s="1"/>
  <c r="O65" i="3" s="1"/>
  <c r="N56" i="3"/>
  <c r="N54" i="3" s="1"/>
  <c r="O61" i="3" s="1"/>
  <c r="L56" i="3"/>
  <c r="L54" i="3" s="1"/>
  <c r="L65" i="3" s="1"/>
  <c r="G56" i="3"/>
  <c r="G54" i="3" s="1"/>
  <c r="H61" i="3" s="1"/>
  <c r="H56" i="3"/>
  <c r="H54" i="3" s="1"/>
  <c r="I61" i="3" s="1"/>
  <c r="I56" i="3"/>
  <c r="I54" i="3" s="1"/>
  <c r="J61" i="3" s="1"/>
  <c r="K56" i="3"/>
  <c r="K54" i="3" s="1"/>
  <c r="L61" i="3" s="1"/>
  <c r="M56" i="3"/>
  <c r="M54" i="3" s="1"/>
  <c r="N61" i="3" s="1"/>
  <c r="E56" i="3"/>
  <c r="E54" i="3" s="1"/>
  <c r="F61" i="3" s="1"/>
  <c r="W16" i="3"/>
  <c r="X16" i="3" s="1"/>
  <c r="D56" i="3"/>
  <c r="D54" i="3" s="1"/>
  <c r="D62" i="3" s="1"/>
  <c r="G61" i="3"/>
  <c r="N65" i="3" l="1"/>
  <c r="P13" i="3"/>
  <c r="X14" i="3"/>
  <c r="H65" i="3"/>
  <c r="K61" i="3"/>
  <c r="K65" i="3"/>
  <c r="G65" i="3"/>
  <c r="M61" i="3"/>
  <c r="I65" i="3"/>
  <c r="U54" i="3"/>
  <c r="U57" i="3" s="1"/>
  <c r="E65" i="3"/>
  <c r="V54" i="3"/>
  <c r="V57" i="3" s="1"/>
  <c r="M65" i="3"/>
  <c r="E61" i="3"/>
  <c r="E62" i="3" s="1"/>
  <c r="F62" i="3" s="1"/>
  <c r="G62" i="3" s="1"/>
  <c r="H62" i="3" s="1"/>
  <c r="I62" i="3" s="1"/>
  <c r="J62" i="3" s="1"/>
  <c r="K62" i="3" s="1"/>
  <c r="L62" i="3" s="1"/>
  <c r="M62" i="3" s="1"/>
  <c r="N62" i="3" s="1"/>
  <c r="O62" i="3" s="1"/>
  <c r="T54" i="3"/>
  <c r="D65" i="3"/>
  <c r="P26" i="3"/>
  <c r="U26" i="3"/>
  <c r="T26" i="3"/>
  <c r="V26" i="3"/>
  <c r="V27" i="3"/>
  <c r="P27" i="3"/>
  <c r="U27" i="3"/>
  <c r="T27" i="3"/>
  <c r="P12" i="3" l="1"/>
  <c r="X12" i="3" s="1"/>
  <c r="X13" i="3"/>
  <c r="W27" i="3"/>
  <c r="X27" i="3" s="1"/>
  <c r="W26" i="3"/>
  <c r="X26" i="3" s="1"/>
  <c r="W54" i="3"/>
  <c r="T57" i="3"/>
  <c r="W57" i="3" s="1"/>
  <c r="H6" i="4" a="1"/>
  <c r="D21" i="3"/>
  <c r="P11" i="3"/>
  <c r="F10" i="3"/>
  <c r="F21" i="3" s="1"/>
  <c r="F28" i="3" s="1"/>
  <c r="M10" i="3"/>
  <c r="M21" i="3" s="1"/>
  <c r="M28" i="3" s="1"/>
  <c r="J10" i="3"/>
  <c r="J21" i="3" s="1"/>
  <c r="J28" i="3" s="1"/>
  <c r="O10" i="3"/>
  <c r="O21" i="3" s="1"/>
  <c r="O28" i="3" s="1"/>
  <c r="I10" i="3"/>
  <c r="I21" i="3" s="1"/>
  <c r="I28" i="3" s="1"/>
  <c r="L10" i="3"/>
  <c r="L21" i="3" s="1"/>
  <c r="L28" i="3" s="1"/>
  <c r="K10" i="3"/>
  <c r="K21" i="3" s="1"/>
  <c r="K28" i="3" s="1"/>
  <c r="U11" i="3"/>
  <c r="H10" i="3"/>
  <c r="H21" i="3" s="1"/>
  <c r="H28" i="3" s="1"/>
  <c r="G10" i="3"/>
  <c r="G21" i="3" s="1"/>
  <c r="G28" i="3" s="1"/>
  <c r="V11" i="3"/>
  <c r="N10" i="3"/>
  <c r="T11" i="3"/>
  <c r="E10" i="3"/>
  <c r="T10" i="3" l="1"/>
  <c r="E21" i="3"/>
  <c r="E28" i="3" s="1"/>
  <c r="W11" i="3"/>
  <c r="X11" i="3" s="1"/>
  <c r="H6" i="4"/>
  <c r="H13" i="4"/>
  <c r="H8" i="4"/>
  <c r="H14" i="4"/>
  <c r="H12" i="4"/>
  <c r="H9" i="4"/>
  <c r="H15" i="4"/>
  <c r="H10" i="4"/>
  <c r="H16" i="4"/>
  <c r="H11" i="4"/>
  <c r="H17" i="4"/>
  <c r="H7" i="4"/>
  <c r="D28" i="3"/>
  <c r="U21" i="3"/>
  <c r="N21" i="3"/>
  <c r="U10" i="3"/>
  <c r="V10" i="3"/>
  <c r="P10" i="3"/>
  <c r="H26" i="4" l="1"/>
  <c r="H27" i="4"/>
  <c r="H28" i="4"/>
  <c r="W10" i="3"/>
  <c r="X10" i="3" s="1"/>
  <c r="T21" i="3"/>
  <c r="V21" i="3"/>
  <c r="N28" i="3"/>
  <c r="H18" i="4"/>
  <c r="P21" i="3"/>
  <c r="W21" i="3" l="1"/>
  <c r="X21" i="3" s="1"/>
  <c r="H29" i="4"/>
  <c r="H30" i="4" s="1"/>
  <c r="D40" i="3"/>
  <c r="D42" i="3"/>
  <c r="D41" i="3" l="1"/>
  <c r="D46" i="3"/>
  <c r="D47" i="3" l="1"/>
  <c r="D48" i="3"/>
  <c r="D44" i="3" l="1"/>
  <c r="D49" i="3" l="1"/>
  <c r="D29" i="3" s="1"/>
  <c r="D30" i="3" l="1"/>
  <c r="N40" i="3"/>
  <c r="P22" i="3"/>
  <c r="N42" i="3"/>
  <c r="N46" i="3" s="1"/>
  <c r="O40" i="3"/>
  <c r="I40" i="3"/>
  <c r="K40" i="3"/>
  <c r="K42" i="3"/>
  <c r="V28" i="3"/>
  <c r="I42" i="3"/>
  <c r="I46" i="3" s="1"/>
  <c r="M42" i="3"/>
  <c r="M46" i="3" s="1"/>
  <c r="L42" i="3"/>
  <c r="L46" i="3" s="1"/>
  <c r="L40" i="3"/>
  <c r="G42" i="3"/>
  <c r="G46" i="3" s="1"/>
  <c r="U28" i="3"/>
  <c r="H40" i="3"/>
  <c r="T22" i="3"/>
  <c r="V22" i="3"/>
  <c r="O42" i="3"/>
  <c r="O46" i="3" s="1"/>
  <c r="U22" i="3"/>
  <c r="J40" i="3"/>
  <c r="U40" i="3" l="1"/>
  <c r="V42" i="3"/>
  <c r="F42" i="3"/>
  <c r="F40" i="3"/>
  <c r="T28" i="3"/>
  <c r="W28" i="3" s="1"/>
  <c r="E42" i="3"/>
  <c r="E40" i="3"/>
  <c r="P28" i="3"/>
  <c r="K46" i="3"/>
  <c r="W22" i="3"/>
  <c r="X22" i="3" s="1"/>
  <c r="H42" i="3"/>
  <c r="M40" i="3"/>
  <c r="V40" i="3" s="1"/>
  <c r="J42" i="3"/>
  <c r="V46" i="3"/>
  <c r="G40" i="3"/>
  <c r="X28" i="3" l="1"/>
  <c r="J46" i="3"/>
  <c r="H46" i="3"/>
  <c r="U42" i="3"/>
  <c r="T40" i="3"/>
  <c r="W40" i="3" s="1"/>
  <c r="F46" i="3"/>
  <c r="T42" i="3"/>
  <c r="E46" i="3"/>
  <c r="T46" i="3" l="1"/>
  <c r="U46" i="3"/>
  <c r="W42" i="3"/>
  <c r="E43" i="3"/>
  <c r="W46" i="3" l="1"/>
  <c r="E47" i="3"/>
  <c r="E41" i="3"/>
  <c r="E48" i="3" l="1"/>
  <c r="F43" i="3" l="1"/>
  <c r="E44" i="3"/>
  <c r="F47" i="3" l="1"/>
  <c r="F41" i="3"/>
  <c r="E49" i="3"/>
  <c r="E29" i="3" s="1"/>
  <c r="E30" i="3" l="1"/>
  <c r="F48" i="3"/>
  <c r="G43" i="3" l="1"/>
  <c r="F44" i="3"/>
  <c r="G47" i="3" l="1"/>
  <c r="T47" i="3" s="1"/>
  <c r="T43" i="3"/>
  <c r="G41" i="3"/>
  <c r="F49" i="3"/>
  <c r="F29" i="3" s="1"/>
  <c r="F30" i="3" l="1"/>
  <c r="T41" i="3"/>
  <c r="G48" i="3"/>
  <c r="H43" i="3" l="1"/>
  <c r="T48" i="3"/>
  <c r="G44" i="3"/>
  <c r="H47" i="3" l="1"/>
  <c r="H41" i="3"/>
  <c r="G49" i="3"/>
  <c r="G29" i="3" s="1"/>
  <c r="T44" i="3"/>
  <c r="G30" i="3" l="1"/>
  <c r="T49" i="3"/>
  <c r="H48" i="3"/>
  <c r="I43" i="3" l="1"/>
  <c r="H44" i="3"/>
  <c r="H49" i="3" l="1"/>
  <c r="H29" i="3" s="1"/>
  <c r="H30" i="3" s="1"/>
  <c r="I47" i="3"/>
  <c r="I41" i="3"/>
  <c r="I48" i="3" l="1"/>
  <c r="J43" i="3" l="1"/>
  <c r="I44" i="3"/>
  <c r="J47" i="3" l="1"/>
  <c r="J41" i="3"/>
  <c r="I49" i="3"/>
  <c r="I29" i="3" s="1"/>
  <c r="I30" i="3" s="1"/>
  <c r="J48" i="3" l="1"/>
  <c r="K43" i="3" l="1"/>
  <c r="J44" i="3"/>
  <c r="J49" i="3" l="1"/>
  <c r="J29" i="3" s="1"/>
  <c r="J30" i="3" s="1"/>
  <c r="K47" i="3"/>
  <c r="U47" i="3" s="1"/>
  <c r="U43" i="3"/>
  <c r="K41" i="3"/>
  <c r="K48" i="3" l="1"/>
  <c r="U41" i="3"/>
  <c r="L43" i="3" l="1"/>
  <c r="U48" i="3"/>
  <c r="K44" i="3"/>
  <c r="K49" i="3" l="1"/>
  <c r="K29" i="3" s="1"/>
  <c r="K30" i="3" s="1"/>
  <c r="U44" i="3"/>
  <c r="L47" i="3"/>
  <c r="L41" i="3"/>
  <c r="L48" i="3" l="1"/>
  <c r="U49" i="3"/>
  <c r="M43" i="3" l="1"/>
  <c r="L44" i="3"/>
  <c r="L49" i="3" l="1"/>
  <c r="L29" i="3" s="1"/>
  <c r="L30" i="3" s="1"/>
  <c r="M47" i="3"/>
  <c r="M41" i="3"/>
  <c r="M48" i="3" l="1"/>
  <c r="N43" i="3" l="1"/>
  <c r="M44" i="3"/>
  <c r="N47" i="3" l="1"/>
  <c r="N41" i="3"/>
  <c r="M49" i="3"/>
  <c r="M29" i="3" s="1"/>
  <c r="M30" i="3" s="1"/>
  <c r="N48" i="3" l="1"/>
  <c r="O43" i="3" l="1"/>
  <c r="N44" i="3"/>
  <c r="N49" i="3" l="1"/>
  <c r="N29" i="3" s="1"/>
  <c r="N30" i="3" s="1"/>
  <c r="O47" i="3"/>
  <c r="V47" i="3" s="1"/>
  <c r="W47" i="3" s="1"/>
  <c r="V43" i="3"/>
  <c r="W43" i="3" s="1"/>
  <c r="O41" i="3"/>
  <c r="V41" i="3" l="1"/>
  <c r="W41" i="3" s="1"/>
  <c r="O48" i="3"/>
  <c r="V48" i="3" l="1"/>
  <c r="W48" i="3" s="1"/>
  <c r="O44" i="3"/>
  <c r="F6" i="4" s="1" a="1"/>
  <c r="F6" i="4" l="1"/>
  <c r="F9" i="4"/>
  <c r="F7" i="4"/>
  <c r="F10" i="4"/>
  <c r="F17" i="4"/>
  <c r="F14" i="4"/>
  <c r="F16" i="4"/>
  <c r="F13" i="4"/>
  <c r="F12" i="4"/>
  <c r="F15" i="4"/>
  <c r="F8" i="4"/>
  <c r="F11" i="4"/>
  <c r="O49" i="3"/>
  <c r="V44" i="3"/>
  <c r="W44" i="3" s="1"/>
  <c r="T29" i="3"/>
  <c r="U29" i="3"/>
  <c r="U30" i="3"/>
  <c r="U31" i="3" s="1"/>
  <c r="T30" i="3"/>
  <c r="T31" i="3" s="1"/>
  <c r="F27" i="4" l="1"/>
  <c r="F28" i="4"/>
  <c r="F26" i="4"/>
  <c r="F18" i="4"/>
  <c r="T51" i="3"/>
  <c r="U51" i="3"/>
  <c r="V49" i="3"/>
  <c r="W49" i="3" s="1"/>
  <c r="O29" i="3"/>
  <c r="G6" i="4" s="1" a="1"/>
  <c r="F29" i="4" l="1"/>
  <c r="F30" i="4" s="1"/>
  <c r="F22" i="4"/>
  <c r="G6" i="4"/>
  <c r="G9" i="4"/>
  <c r="G15" i="4"/>
  <c r="G14" i="4"/>
  <c r="G8" i="4"/>
  <c r="G10" i="4"/>
  <c r="G13" i="4"/>
  <c r="G16" i="4"/>
  <c r="G11" i="4"/>
  <c r="G7" i="4"/>
  <c r="G12" i="4"/>
  <c r="G17" i="4"/>
  <c r="O30" i="3"/>
  <c r="V29" i="3"/>
  <c r="W29" i="3" s="1"/>
  <c r="P29" i="3"/>
  <c r="G27" i="4" l="1"/>
  <c r="G26" i="4"/>
  <c r="G28" i="4"/>
  <c r="G18" i="4"/>
  <c r="G22" i="4" s="1"/>
  <c r="P30" i="3"/>
  <c r="V30" i="3"/>
  <c r="V31" i="3" s="1"/>
  <c r="X29" i="3"/>
  <c r="G29" i="4" l="1"/>
  <c r="G30" i="4" s="1"/>
  <c r="V51" i="3"/>
  <c r="W30" i="3"/>
  <c r="W31" i="3" s="1"/>
  <c r="X30" i="3" l="1"/>
  <c r="C13" i="8" l="1"/>
  <c r="C9" i="8" s="1"/>
  <c r="C10" i="8"/>
  <c r="C17" i="8"/>
</calcChain>
</file>

<file path=xl/comments1.xml><?xml version="1.0" encoding="utf-8"?>
<comments xmlns="http://schemas.openxmlformats.org/spreadsheetml/2006/main">
  <authors>
    <author>Коэн Глеб Борисович</author>
  </authors>
  <commentList>
    <comment ref="J5" authorId="0">
      <text>
        <r>
          <rPr>
            <b/>
            <sz val="9"/>
            <color indexed="81"/>
            <rFont val="Tahoma"/>
            <family val="2"/>
            <charset val="204"/>
          </rPr>
          <t>Коэн Глеб Борисович:</t>
        </r>
        <r>
          <rPr>
            <sz val="9"/>
            <color indexed="81"/>
            <rFont val="Tahoma"/>
            <family val="2"/>
            <charset val="204"/>
          </rPr>
          <t xml:space="preserve">
укажите единицы измерения</t>
        </r>
      </text>
    </comment>
    <comment ref="C6" authorId="0">
      <text>
        <r>
          <rPr>
            <b/>
            <sz val="9"/>
            <color indexed="81"/>
            <rFont val="Tahoma"/>
            <family val="2"/>
            <charset val="204"/>
          </rPr>
          <t>Коэн Глеб Борисович:</t>
        </r>
        <r>
          <rPr>
            <sz val="9"/>
            <color indexed="81"/>
            <rFont val="Tahoma"/>
            <family val="2"/>
            <charset val="204"/>
          </rPr>
          <t xml:space="preserve">
Среднесписочная численность работников за квартал определяется путем суммирования среднесписочной численности работников за все месяцы работы предприятия в квартале и деления полученной суммы на три.</t>
        </r>
      </text>
    </comment>
    <comment ref="C26" authorId="0">
      <text>
        <r>
          <rPr>
            <b/>
            <sz val="9"/>
            <color indexed="81"/>
            <rFont val="Tahoma"/>
            <family val="2"/>
            <charset val="204"/>
          </rPr>
          <t>Коэн Глеб Борисович:</t>
        </r>
        <r>
          <rPr>
            <sz val="9"/>
            <color indexed="81"/>
            <rFont val="Tahoma"/>
            <family val="2"/>
            <charset val="204"/>
          </rPr>
          <t xml:space="preserve">
Среднесписочная численность работников за год определяется путем суммирования среднесписочной численности работников за все месяцы отчетного года и деления полученной суммы на 12.</t>
        </r>
      </text>
    </comment>
  </commentList>
</comments>
</file>

<file path=xl/comments2.xml><?xml version="1.0" encoding="utf-8"?>
<comments xmlns="http://schemas.openxmlformats.org/spreadsheetml/2006/main">
  <authors>
    <author>Коэн Глеб Борисович</author>
  </authors>
  <commentList>
    <comment ref="D17" authorId="0">
      <text>
        <r>
          <rPr>
            <b/>
            <sz val="9"/>
            <color indexed="81"/>
            <rFont val="Tahoma"/>
            <family val="2"/>
            <charset val="204"/>
          </rPr>
          <t>Коэн Глеб Борисович:</t>
        </r>
        <r>
          <rPr>
            <sz val="9"/>
            <color indexed="81"/>
            <rFont val="Tahoma"/>
            <family val="2"/>
            <charset val="204"/>
          </rPr>
          <t xml:space="preserve">
заполните на вкладке "штат"</t>
        </r>
      </text>
    </comment>
  </commentList>
</comments>
</file>

<file path=xl/comments3.xml><?xml version="1.0" encoding="utf-8"?>
<comments xmlns="http://schemas.openxmlformats.org/spreadsheetml/2006/main">
  <authors>
    <author>Коэн Глеб Борисович</author>
  </authors>
  <commentList>
    <comment ref="B6" authorId="0">
      <text>
        <r>
          <rPr>
            <b/>
            <sz val="9"/>
            <color indexed="81"/>
            <rFont val="Tahoma"/>
            <family val="2"/>
            <charset val="204"/>
          </rPr>
          <t>Коэн Глеб Борисович:</t>
        </r>
        <r>
          <rPr>
            <sz val="9"/>
            <color indexed="81"/>
            <rFont val="Tahoma"/>
            <family val="2"/>
            <charset val="204"/>
          </rPr>
          <t xml:space="preserve">
средневзвешенная по объему</t>
        </r>
      </text>
    </comment>
    <comment ref="B11" authorId="0">
      <text>
        <r>
          <rPr>
            <b/>
            <sz val="9"/>
            <color indexed="81"/>
            <rFont val="Tahoma"/>
            <family val="2"/>
            <charset val="204"/>
          </rPr>
          <t>Коэн Глеб Борисович:</t>
        </r>
        <r>
          <rPr>
            <sz val="9"/>
            <color indexed="81"/>
            <rFont val="Tahoma"/>
            <family val="2"/>
            <charset val="204"/>
          </rPr>
          <t xml:space="preserve">
средневзвешенная по объему</t>
        </r>
      </text>
    </comment>
    <comment ref="B16" authorId="0">
      <text>
        <r>
          <rPr>
            <b/>
            <sz val="9"/>
            <color indexed="81"/>
            <rFont val="Tahoma"/>
            <family val="2"/>
            <charset val="204"/>
          </rPr>
          <t>Коэн Глеб Борисович:</t>
        </r>
        <r>
          <rPr>
            <sz val="9"/>
            <color indexed="81"/>
            <rFont val="Tahoma"/>
            <family val="2"/>
            <charset val="204"/>
          </rPr>
          <t xml:space="preserve">
средневзвешенная по объему</t>
        </r>
      </text>
    </comment>
    <comment ref="B20" authorId="0">
      <text>
        <r>
          <rPr>
            <b/>
            <sz val="9"/>
            <color indexed="81"/>
            <rFont val="Tahoma"/>
            <family val="2"/>
            <charset val="204"/>
          </rPr>
          <t>Коэн Глеб Борисович:</t>
        </r>
        <r>
          <rPr>
            <sz val="9"/>
            <color indexed="81"/>
            <rFont val="Tahoma"/>
            <family val="2"/>
            <charset val="204"/>
          </rPr>
          <t xml:space="preserve">
если применимо (если возможно суммировать при идентичных единицах измерения)</t>
        </r>
      </text>
    </comment>
    <comment ref="B21" authorId="0">
      <text>
        <r>
          <rPr>
            <b/>
            <sz val="9"/>
            <color indexed="81"/>
            <rFont val="Tahoma"/>
            <family val="2"/>
            <charset val="204"/>
          </rPr>
          <t>Коэн Глеб Борисович:</t>
        </r>
        <r>
          <rPr>
            <sz val="9"/>
            <color indexed="81"/>
            <rFont val="Tahoma"/>
            <family val="2"/>
            <charset val="204"/>
          </rPr>
          <t xml:space="preserve">
средневзвешенная по объему</t>
        </r>
      </text>
    </comment>
  </commentList>
</comments>
</file>

<file path=xl/comments4.xml><?xml version="1.0" encoding="utf-8"?>
<comments xmlns="http://schemas.openxmlformats.org/spreadsheetml/2006/main">
  <authors>
    <author>Коэн Глеб Борисович</author>
  </authors>
  <commentList>
    <comment ref="B48" authorId="0">
      <text>
        <r>
          <rPr>
            <b/>
            <sz val="9"/>
            <color indexed="81"/>
            <rFont val="Tahoma"/>
            <family val="2"/>
            <charset val="204"/>
          </rPr>
          <t>Коэн Глеб Борисович:</t>
        </r>
        <r>
          <rPr>
            <sz val="9"/>
            <color indexed="81"/>
            <rFont val="Tahoma"/>
            <family val="2"/>
            <charset val="204"/>
          </rPr>
          <t xml:space="preserve">
(СПИ - 5 лет)</t>
        </r>
      </text>
    </comment>
  </commentList>
</comments>
</file>

<file path=xl/comments5.xml><?xml version="1.0" encoding="utf-8"?>
<comments xmlns="http://schemas.openxmlformats.org/spreadsheetml/2006/main">
  <authors>
    <author>Коэн Глеб Борисович</author>
  </authors>
  <commentList>
    <comment ref="B6" authorId="0">
      <text>
        <r>
          <rPr>
            <b/>
            <sz val="9"/>
            <color indexed="81"/>
            <rFont val="Tahoma"/>
            <family val="2"/>
            <charset val="204"/>
          </rPr>
          <t>Коэн Глеб Борисович:</t>
        </r>
        <r>
          <rPr>
            <sz val="9"/>
            <color indexed="81"/>
            <rFont val="Tahoma"/>
            <family val="2"/>
            <charset val="204"/>
          </rPr>
          <t xml:space="preserve">
в составе переменных затрат </t>
        </r>
      </text>
    </comment>
    <comment ref="B7" authorId="0">
      <text>
        <r>
          <rPr>
            <b/>
            <sz val="9"/>
            <color indexed="81"/>
            <rFont val="Tahoma"/>
            <family val="2"/>
            <charset val="204"/>
          </rPr>
          <t>Коэн Глеб Борисович:</t>
        </r>
        <r>
          <rPr>
            <sz val="9"/>
            <color indexed="81"/>
            <rFont val="Tahoma"/>
            <family val="2"/>
            <charset val="204"/>
          </rPr>
          <t xml:space="preserve">
в составе постоянных затрат</t>
        </r>
      </text>
    </comment>
  </commentList>
</comments>
</file>

<file path=xl/sharedStrings.xml><?xml version="1.0" encoding="utf-8"?>
<sst xmlns="http://schemas.openxmlformats.org/spreadsheetml/2006/main" count="522" uniqueCount="187">
  <si>
    <t>тыс.руб.</t>
  </si>
  <si>
    <t>Накладные расходы</t>
  </si>
  <si>
    <t>Проценты к уплате</t>
  </si>
  <si>
    <t>Прибыль (убыток) до налогообложения</t>
  </si>
  <si>
    <t>Чистая прибыль (убыток)</t>
  </si>
  <si>
    <t>НДС к уплате</t>
  </si>
  <si>
    <t>Налог на прибыль</t>
  </si>
  <si>
    <t>Бюджет доходов и расходов</t>
  </si>
  <si>
    <t>Переменные затраты - себестоимость реализации</t>
  </si>
  <si>
    <t>Итого</t>
  </si>
  <si>
    <t>Амортизация</t>
  </si>
  <si>
    <t>Ед. изм.</t>
  </si>
  <si>
    <t>Переменные затраты - логистика</t>
  </si>
  <si>
    <t>Налог на прибыль (начисленный)</t>
  </si>
  <si>
    <t>Расчет иных налогов и сборов</t>
  </si>
  <si>
    <t>тыс. руб.</t>
  </si>
  <si>
    <t>Итого иные налоги и сборы</t>
  </si>
  <si>
    <t>Период, год</t>
  </si>
  <si>
    <t>проверка:</t>
  </si>
  <si>
    <t>Итого капитальные вложения ("Объем инвестиций, с НДС")</t>
  </si>
  <si>
    <t>Источники финансирования, тыс. руб.</t>
  </si>
  <si>
    <t xml:space="preserve">Инструкция: </t>
  </si>
  <si>
    <t xml:space="preserve">Заполнить согласно перечню планируемых затрат. Формы таблиц могут быть изменены, однако "Капитальные вложения" должны совпадать с их разбивкой. </t>
  </si>
  <si>
    <t>Сумма инвестиционных затрат должна совпадать с таблицей источников средств.</t>
  </si>
  <si>
    <t>Капитальные вложения не должны включать текущие затраты (исключается также текущий ремонт и приобретение имущества стоимостью до 100 тыс. руб.)</t>
  </si>
  <si>
    <t>Расходы по аренде имущества (ФРТ)</t>
  </si>
  <si>
    <t>Заемное финансирование</t>
  </si>
  <si>
    <t>Собственные средства</t>
  </si>
  <si>
    <t>Кроме того (справочно),
покрытие текущих расходов (до выхода на самоокупаемость), в т.ч.</t>
  </si>
  <si>
    <t>ед.изм.</t>
  </si>
  <si>
    <t>НДС исходящий</t>
  </si>
  <si>
    <t>НДС входящий</t>
  </si>
  <si>
    <t>НДС по инвестициям</t>
  </si>
  <si>
    <t>НДС с затрат на доставку</t>
  </si>
  <si>
    <t>НДС с накладных расходов</t>
  </si>
  <si>
    <t>Справочно: инвестиционные затраты (суммарные)</t>
  </si>
  <si>
    <t>Сальдо начисления НДС</t>
  </si>
  <si>
    <t>Доля затрат с НДС в общем объеме затрат (по категориям)</t>
  </si>
  <si>
    <t>НДС по переменным затратам</t>
  </si>
  <si>
    <t>Постоянные расходы - накладные</t>
  </si>
  <si>
    <t>Инвестиционные затраты</t>
  </si>
  <si>
    <t>Расчет налога на прибыль</t>
  </si>
  <si>
    <t>Убыток</t>
  </si>
  <si>
    <t>Прибыль</t>
  </si>
  <si>
    <t>Зачитываемая в уменьшение базы сумма убытка (макс. 50%)</t>
  </si>
  <si>
    <t>Итого налогооблогаемая база по налогу на прибыль</t>
  </si>
  <si>
    <t>Накопленный убыток</t>
  </si>
  <si>
    <t>Лимит уменьшения налогооблогаемой прибыли (50%)</t>
  </si>
  <si>
    <t>Начисления с ФОТ</t>
  </si>
  <si>
    <t>Остаток непогашенного убытка</t>
  </si>
  <si>
    <t>Зачтенный в счет уменьшения налогооблогаемой прибыли убыток (накопленный итог)</t>
  </si>
  <si>
    <t>Справочно:</t>
  </si>
  <si>
    <t>Итого заработная плата, тыс. руб.</t>
  </si>
  <si>
    <t xml:space="preserve">Ср. заработная плата (с НДФЛ), тыс. руб. </t>
  </si>
  <si>
    <t>Расчет расходов на персонал</t>
  </si>
  <si>
    <t>Кол-во месяцев</t>
  </si>
  <si>
    <t>Отчисления на ФОТ, тыс. руб.</t>
  </si>
  <si>
    <t>Заполните поля в розовых ячейках (остальные заполнять не нужно)</t>
  </si>
  <si>
    <t>в т.ч. Кап.вложения</t>
  </si>
  <si>
    <t>Переменные затраты - маркетинг и логистика</t>
  </si>
  <si>
    <t>Заполните пожалуйста ячейки розового цвета (остальные заполняются автоматически)</t>
  </si>
  <si>
    <t>руб.</t>
  </si>
  <si>
    <t>%</t>
  </si>
  <si>
    <t>ед.</t>
  </si>
  <si>
    <t>Себестоимость реализованных товаров</t>
  </si>
  <si>
    <t>Выручка - итого (без НДС)</t>
  </si>
  <si>
    <t>Заработная плата с НДФЛ (занятые в торговле)</t>
  </si>
  <si>
    <t>Отчисления на заработную плату (занятые в торговле)</t>
  </si>
  <si>
    <t>Заработная плата с НДФЛ (администрация и сотрудники УК)</t>
  </si>
  <si>
    <t>Отчисления на заработную плату (администрация и сотрудники УК)</t>
  </si>
  <si>
    <t>Штат, ед. (кол-во чел.)
в т.ч.</t>
  </si>
  <si>
    <t>Прочие переменные расходы</t>
  </si>
  <si>
    <t>Направления инвестиций,  тыс. руб.</t>
  </si>
  <si>
    <t>Капитальные вложения</t>
  </si>
  <si>
    <t>Всего</t>
  </si>
  <si>
    <t>Ставки НДС (эффективные)</t>
  </si>
  <si>
    <t>По выручке от продажи товаров и себестоимости реализации</t>
  </si>
  <si>
    <t xml:space="preserve">Переменные затраты </t>
  </si>
  <si>
    <t>Постоянные затраты</t>
  </si>
  <si>
    <t>Переменные затраты</t>
  </si>
  <si>
    <t>Прочие налоги и сборы</t>
  </si>
  <si>
    <t>I год</t>
  </si>
  <si>
    <t>II год</t>
  </si>
  <si>
    <t>III год</t>
  </si>
  <si>
    <t>Инвестиции</t>
  </si>
  <si>
    <t>НДС к уплате за текущий период</t>
  </si>
  <si>
    <t>Уплаченный НДС ( в текущем квартале, за предыдущий)</t>
  </si>
  <si>
    <t>Среднесписочная численность работников (без учета работников, занятых на сезонных работах) (ед.)</t>
  </si>
  <si>
    <t>Объем инвестиций в основной капитал</t>
  </si>
  <si>
    <t>Объем налогов и сборов, уплаченных в бюджеты бюджетной системы Российской Федерации</t>
  </si>
  <si>
    <t>Объем выпуска (реализации) товаров (работ, услуг) собственного производства в натуральном и стоимостном выражении</t>
  </si>
  <si>
    <t>За счет собственных средств (тыс. руб.)</t>
  </si>
  <si>
    <t>За счет заемных средств (тыс. руб.)</t>
  </si>
  <si>
    <t>Налогооблагаемая база по налогу на прибыль (тыс. руб.)</t>
  </si>
  <si>
    <t>Налог на прибыль, (тыс. руб.)</t>
  </si>
  <si>
    <t>Иные налоги и сборы (тыс. руб.)</t>
  </si>
  <si>
    <t>Выручка без НДС (тыс. руб.)</t>
  </si>
  <si>
    <t>Натуральные показатели собственного производства для промышленных и с/х объектов*</t>
  </si>
  <si>
    <t>I квартал*</t>
  </si>
  <si>
    <t>II квартал</t>
  </si>
  <si>
    <t>III квартал</t>
  </si>
  <si>
    <t>IV квартал</t>
  </si>
  <si>
    <t>V квартал</t>
  </si>
  <si>
    <t>VI квартал</t>
  </si>
  <si>
    <t>VII квартал</t>
  </si>
  <si>
    <t>VIII квартал</t>
  </si>
  <si>
    <t>IX квартал</t>
  </si>
  <si>
    <t>X квартал</t>
  </si>
  <si>
    <t>XI квартал</t>
  </si>
  <si>
    <t>XII квартал</t>
  </si>
  <si>
    <t>Итого (за скобками)</t>
  </si>
  <si>
    <t>2) по годам</t>
  </si>
  <si>
    <t>I квартал</t>
  </si>
  <si>
    <t>I  год</t>
  </si>
  <si>
    <t>Валовая прибыль</t>
  </si>
  <si>
    <t>СПИ, число лет</t>
  </si>
  <si>
    <t>Амортизация (поквартально)</t>
  </si>
  <si>
    <t>Капитальные вложения - первоначальная стоимость</t>
  </si>
  <si>
    <t>Рентабельность по чистой прибыли</t>
  </si>
  <si>
    <t>Средняя цена (без НДС)</t>
  </si>
  <si>
    <t>Прирост цены, в %</t>
  </si>
  <si>
    <t>Объем реализации</t>
  </si>
  <si>
    <t>Выручка от реализации без НДС - Продукция (Услуги / Работы) №1</t>
  </si>
  <si>
    <t>Выручка от реализации без НДС - Продукция (Услуги / Работы) №2</t>
  </si>
  <si>
    <t>Продукция (Услуги / Работы) №3</t>
  </si>
  <si>
    <t>Выручка от реализации без НДС - Продукция (Услуги / Работы) №3</t>
  </si>
  <si>
    <t>Выручка от реализации без НДС - Итого</t>
  </si>
  <si>
    <t>Продукция (работы / услуги) №1</t>
  </si>
  <si>
    <t>Продукция (работы / услуги) №2</t>
  </si>
  <si>
    <t>Продукция (работы / услуги) №3</t>
  </si>
  <si>
    <t>Административный персонал</t>
  </si>
  <si>
    <t>Сотрудники основного производства / ИТР</t>
  </si>
  <si>
    <t>На этом листе все значения заполняются автоматически после корректного и полного заполнения значения в таблицах на других листах.</t>
  </si>
  <si>
    <t>Себестоимость, в % от выручки (реализации)</t>
  </si>
  <si>
    <r>
      <t xml:space="preserve">* первый период - всегда </t>
    </r>
    <r>
      <rPr>
        <b/>
        <sz val="12"/>
        <color theme="1"/>
        <rFont val="Times New Roman"/>
        <family val="1"/>
        <charset val="204"/>
      </rPr>
      <t xml:space="preserve">полный </t>
    </r>
    <r>
      <rPr>
        <sz val="12"/>
        <color theme="1"/>
        <rFont val="Times New Roman"/>
        <family val="1"/>
        <charset val="204"/>
      </rPr>
      <t>квартал, следующий за датой заключения договора</t>
    </r>
  </si>
  <si>
    <r>
      <t xml:space="preserve">Натуральные показатели собственного производства для промышленных и с/х объектов, </t>
    </r>
    <r>
      <rPr>
        <b/>
        <sz val="12"/>
        <color rgb="FFFF0000"/>
        <rFont val="Times New Roman"/>
        <family val="1"/>
        <charset val="204"/>
      </rPr>
      <t>ед. изм.</t>
    </r>
  </si>
  <si>
    <t>Расходы по аренде имущества (ФРТ), в % от выручки</t>
  </si>
  <si>
    <t>Прогноз Выручки</t>
  </si>
  <si>
    <t>Заработная плата с НДФЛ (операционная деятельность)</t>
  </si>
  <si>
    <t>Отчисления на заработную плату (операционная деятельность)</t>
  </si>
  <si>
    <t>Заработная плата с НДФЛ (административный персонал)</t>
  </si>
  <si>
    <t>Отчисления на заработную плату (административный персонал)</t>
  </si>
  <si>
    <t>Капитальные ремонты зданий и сооружений</t>
  </si>
  <si>
    <t>Капитальные ремонты (замена) механического оборудования</t>
  </si>
  <si>
    <t>Капитальные ремонты  (замена) энергетического оборудования</t>
  </si>
  <si>
    <t>Капитальные ремонты  (замена) оборудования КИПиА</t>
  </si>
  <si>
    <t>Капитальные ремонты  (закупка) автотранспорта</t>
  </si>
  <si>
    <t>Капитальные ремонты  ж.д.транспорта и ж.д. хозяйства</t>
  </si>
  <si>
    <t>Закупка сырья (смола каменноугольная) на переработку</t>
  </si>
  <si>
    <t>Затраты на энергоресурсы (электроэнергия, газ, вода, стоки)</t>
  </si>
  <si>
    <t>Закупка спецодежды, СИЗ, инструмента, расходных материалов, запасных деталей</t>
  </si>
  <si>
    <t>Затраты на оплату труда (восстановительный период + 1 рабочий месяц)</t>
  </si>
  <si>
    <t>Получение спецразрешений на деятельность, выполнение требований ОТ, МЧС, Горпромнадзор, Энергонадзор, Минэкологии на начало работ</t>
  </si>
  <si>
    <t>Продукция (Услуги / Работы) №1 (пек)</t>
  </si>
  <si>
    <t>Продукция (Услуги / Работы) №2 (масла)</t>
  </si>
  <si>
    <t>Арендная плата за землепользование</t>
  </si>
  <si>
    <t>1 квартал переработка смолы 7000/месяц (1 технологический поток/1 месяц)</t>
  </si>
  <si>
    <t>2-4 квартал переработка смолы 7000/месяц (1 технологический поток/3 месяца)</t>
  </si>
  <si>
    <t>5-12 квартал переработка смолы 10000/месяц (2 технологических потока/3 месяца)</t>
  </si>
  <si>
    <t>Примечание к расчету:</t>
  </si>
  <si>
    <t>пек</t>
  </si>
  <si>
    <t>цена за 1 т/$</t>
  </si>
  <si>
    <t>% выхода с производства</t>
  </si>
  <si>
    <t>нафталиновая фракция</t>
  </si>
  <si>
    <t>фенольное масло</t>
  </si>
  <si>
    <t>легкое масло</t>
  </si>
  <si>
    <t>поглотительное масло</t>
  </si>
  <si>
    <t>антраценовое масло</t>
  </si>
  <si>
    <t>дистилляты пековые</t>
  </si>
  <si>
    <t>Наименование выходной продукции*</t>
  </si>
  <si>
    <t>280-350</t>
  </si>
  <si>
    <t>ср. цена за 1 т/$**</t>
  </si>
  <si>
    <t>Усредненная цена по маслам расчитана из объемного выхода масел месячной переработки 7000т</t>
  </si>
  <si>
    <t>выход масел - 3400т/мес</t>
  </si>
  <si>
    <t>общая стоимость масел -  129296615,0</t>
  </si>
  <si>
    <t>*Товарные смеси масел каменноугольных в расчете не учитывались. Смеси производят из общего объема исходных масел</t>
  </si>
  <si>
    <t>средняя цена за 1 т - 38045,20</t>
  </si>
  <si>
    <t>** Курс доллара в расчете 1$/95 рос.руб, НДС 20%</t>
  </si>
  <si>
    <t>средняя цена за 1 т  без НДС - 30436,16</t>
  </si>
  <si>
    <t>В расчете не учитыватся готовая продукция, имеющаяся в налиции на складах предприятия</t>
  </si>
  <si>
    <t>Расчет средней цены на выходную продукцию</t>
  </si>
  <si>
    <t xml:space="preserve">Примечание </t>
  </si>
  <si>
    <t>1 квартал организационно-восстановительный период ( неполный штат, охрана, ремонтные бригады)</t>
  </si>
  <si>
    <t>2-12 квартал работа в штатном режиме ( полный штат)</t>
  </si>
  <si>
    <t xml:space="preserve">транспортые </t>
  </si>
  <si>
    <t>цены в $ расчитаны по периоду2013г</t>
  </si>
  <si>
    <t>ср. цена за 1 т/руб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</si>
</sst>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_-* #,##0.00_-;\-* #,##0.00_-;_-* &quot;-&quot;??_-;_-@_-"/>
    <numFmt numFmtId="165" formatCode="_-* #,##0_-;\-* #,##0_-;_-* &quot;-&quot;??_-;_-@_-"/>
    <numFmt numFmtId="166" formatCode="#,##0.0"/>
    <numFmt numFmtId="167" formatCode="0.000"/>
    <numFmt numFmtId="168" formatCode="#,##0.000"/>
    <numFmt numFmtId="169" formatCode="#,##0_ ;\-#,##0\ "/>
    <numFmt numFmtId="170" formatCode="0.0%"/>
    <numFmt numFmtId="171" formatCode="_-* #,##0.0_-;\-* #,##0.0_-;_-* &quot;-&quot;??_-;_-@_-"/>
    <numFmt numFmtId="172" formatCode="0.0"/>
  </numFmts>
  <fonts count="29" x14ac:knownFonts="1">
    <font>
      <sz val="11"/>
      <color theme="1"/>
      <name val="Times New Roman"/>
      <family val="2"/>
      <charset val="204"/>
    </font>
    <font>
      <sz val="11"/>
      <color theme="1"/>
      <name val="Times New Roman"/>
      <family val="2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i/>
      <sz val="9"/>
      <color theme="1"/>
      <name val="Times New Roman"/>
      <family val="1"/>
      <charset val="204"/>
    </font>
    <font>
      <sz val="11"/>
      <color rgb="FFFF0000"/>
      <name val="Times New Roman"/>
      <family val="2"/>
      <charset val="204"/>
    </font>
    <font>
      <b/>
      <sz val="11"/>
      <color theme="1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9"/>
      <color theme="1"/>
      <name val="Times New Roman"/>
      <family val="2"/>
      <charset val="204"/>
    </font>
    <font>
      <sz val="10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Times New Roman"/>
      <family val="2"/>
      <charset val="204"/>
    </font>
    <font>
      <b/>
      <sz val="11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i/>
      <sz val="9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7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18">
    <xf numFmtId="0" fontId="0" fillId="0" borderId="0" xfId="0"/>
    <xf numFmtId="0" fontId="2" fillId="0" borderId="5" xfId="0" applyFont="1" applyBorder="1" applyAlignment="1">
      <alignment horizontal="right" vertical="center" wrapText="1" indent="2"/>
    </xf>
    <xf numFmtId="0" fontId="5" fillId="0" borderId="0" xfId="0" applyFont="1" applyAlignment="1">
      <alignment horizontal="right"/>
    </xf>
    <xf numFmtId="3" fontId="5" fillId="0" borderId="0" xfId="0" applyNumberFormat="1" applyFont="1"/>
    <xf numFmtId="0" fontId="6" fillId="0" borderId="0" xfId="0" applyFont="1"/>
    <xf numFmtId="3" fontId="3" fillId="0" borderId="32" xfId="0" applyNumberFormat="1" applyFont="1" applyBorder="1" applyAlignment="1">
      <alignment horizontal="center" vertical="center" wrapText="1"/>
    </xf>
    <xf numFmtId="3" fontId="4" fillId="6" borderId="32" xfId="0" applyNumberFormat="1" applyFont="1" applyFill="1" applyBorder="1" applyAlignment="1">
      <alignment horizontal="center" vertical="center" wrapText="1"/>
    </xf>
    <xf numFmtId="3" fontId="3" fillId="0" borderId="33" xfId="0" applyNumberFormat="1" applyFont="1" applyBorder="1" applyAlignment="1">
      <alignment horizontal="center" vertical="center" wrapText="1"/>
    </xf>
    <xf numFmtId="3" fontId="3" fillId="2" borderId="19" xfId="0" applyNumberFormat="1" applyFont="1" applyFill="1" applyBorder="1" applyAlignment="1">
      <alignment horizontal="center" vertical="center" wrapText="1"/>
    </xf>
    <xf numFmtId="3" fontId="3" fillId="2" borderId="36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indent="1"/>
    </xf>
    <xf numFmtId="0" fontId="3" fillId="0" borderId="0" xfId="0" applyFont="1"/>
    <xf numFmtId="0" fontId="3" fillId="0" borderId="0" xfId="0" applyFont="1" applyAlignment="1">
      <alignment horizontal="left" indent="1"/>
    </xf>
    <xf numFmtId="164" fontId="5" fillId="0" borderId="0" xfId="1" applyFont="1"/>
    <xf numFmtId="3" fontId="2" fillId="7" borderId="29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17" xfId="0" applyFont="1" applyBorder="1" applyAlignment="1">
      <alignment horizontal="center"/>
    </xf>
    <xf numFmtId="3" fontId="4" fillId="0" borderId="45" xfId="0" applyNumberFormat="1" applyFont="1" applyBorder="1"/>
    <xf numFmtId="0" fontId="4" fillId="0" borderId="20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9" fontId="3" fillId="0" borderId="0" xfId="0" applyNumberFormat="1" applyFont="1" applyAlignment="1">
      <alignment horizontal="right" indent="1"/>
    </xf>
    <xf numFmtId="3" fontId="4" fillId="0" borderId="36" xfId="0" applyNumberFormat="1" applyFont="1" applyBorder="1"/>
    <xf numFmtId="3" fontId="4" fillId="0" borderId="33" xfId="0" applyNumberFormat="1" applyFont="1" applyBorder="1"/>
    <xf numFmtId="3" fontId="3" fillId="0" borderId="33" xfId="0" applyNumberFormat="1" applyFont="1" applyBorder="1"/>
    <xf numFmtId="165" fontId="3" fillId="0" borderId="0" xfId="1" applyNumberFormat="1" applyFont="1"/>
    <xf numFmtId="165" fontId="5" fillId="0" borderId="0" xfId="1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13" fillId="0" borderId="0" xfId="0" applyFont="1" applyAlignment="1">
      <alignment wrapText="1"/>
    </xf>
    <xf numFmtId="0" fontId="13" fillId="0" borderId="0" xfId="0" applyFont="1"/>
    <xf numFmtId="0" fontId="13" fillId="0" borderId="39" xfId="0" applyFont="1" applyBorder="1" applyAlignment="1">
      <alignment wrapText="1"/>
    </xf>
    <xf numFmtId="0" fontId="13" fillId="0" borderId="37" xfId="0" applyFont="1" applyBorder="1" applyAlignment="1">
      <alignment horizontal="center" vertical="center" wrapText="1"/>
    </xf>
    <xf numFmtId="0" fontId="13" fillId="0" borderId="38" xfId="0" applyFont="1" applyBorder="1" applyAlignment="1">
      <alignment horizontal="center" vertical="center" wrapText="1"/>
    </xf>
    <xf numFmtId="0" fontId="13" fillId="0" borderId="47" xfId="0" applyFont="1" applyBorder="1" applyAlignment="1">
      <alignment wrapText="1"/>
    </xf>
    <xf numFmtId="0" fontId="13" fillId="0" borderId="0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0" xfId="0" applyFont="1" applyBorder="1"/>
    <xf numFmtId="0" fontId="13" fillId="0" borderId="2" xfId="0" applyFont="1" applyBorder="1"/>
    <xf numFmtId="0" fontId="13" fillId="0" borderId="41" xfId="0" applyFont="1" applyBorder="1" applyAlignment="1">
      <alignment wrapText="1"/>
    </xf>
    <xf numFmtId="0" fontId="13" fillId="0" borderId="43" xfId="0" applyFont="1" applyBorder="1"/>
    <xf numFmtId="0" fontId="13" fillId="0" borderId="27" xfId="0" applyFont="1" applyBorder="1"/>
    <xf numFmtId="0" fontId="13" fillId="0" borderId="48" xfId="0" applyFont="1" applyBorder="1" applyAlignment="1">
      <alignment wrapText="1"/>
    </xf>
    <xf numFmtId="0" fontId="13" fillId="0" borderId="54" xfId="0" applyFont="1" applyBorder="1"/>
    <xf numFmtId="0" fontId="13" fillId="0" borderId="45" xfId="0" applyFont="1" applyBorder="1"/>
    <xf numFmtId="3" fontId="13" fillId="0" borderId="0" xfId="0" applyNumberFormat="1" applyFont="1" applyBorder="1"/>
    <xf numFmtId="3" fontId="13" fillId="0" borderId="2" xfId="0" applyNumberFormat="1" applyFont="1" applyBorder="1"/>
    <xf numFmtId="3" fontId="13" fillId="0" borderId="43" xfId="0" applyNumberFormat="1" applyFont="1" applyBorder="1"/>
    <xf numFmtId="3" fontId="13" fillId="0" borderId="27" xfId="0" applyNumberFormat="1" applyFont="1" applyBorder="1"/>
    <xf numFmtId="0" fontId="2" fillId="0" borderId="41" xfId="0" applyFont="1" applyBorder="1" applyAlignment="1">
      <alignment wrapText="1"/>
    </xf>
    <xf numFmtId="3" fontId="2" fillId="0" borderId="43" xfId="0" applyNumberFormat="1" applyFont="1" applyBorder="1"/>
    <xf numFmtId="3" fontId="2" fillId="0" borderId="27" xfId="0" applyNumberFormat="1" applyFont="1" applyBorder="1"/>
    <xf numFmtId="0" fontId="13" fillId="5" borderId="0" xfId="0" applyFont="1" applyFill="1" applyBorder="1"/>
    <xf numFmtId="0" fontId="13" fillId="0" borderId="0" xfId="0" applyFont="1" applyAlignment="1"/>
    <xf numFmtId="3" fontId="2" fillId="7" borderId="40" xfId="0" applyNumberFormat="1" applyFont="1" applyFill="1" applyBorder="1" applyAlignment="1">
      <alignment horizontal="center" vertical="center" wrapText="1"/>
    </xf>
    <xf numFmtId="3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2" fillId="3" borderId="18" xfId="0" applyFont="1" applyFill="1" applyBorder="1" applyAlignment="1">
      <alignment horizontal="left" vertical="center"/>
    </xf>
    <xf numFmtId="0" fontId="3" fillId="3" borderId="15" xfId="0" applyFont="1" applyFill="1" applyBorder="1" applyAlignment="1">
      <alignment horizontal="left" vertical="center" wrapText="1"/>
    </xf>
    <xf numFmtId="0" fontId="2" fillId="3" borderId="13" xfId="0" applyFont="1" applyFill="1" applyBorder="1" applyAlignment="1">
      <alignment horizontal="left" vertical="center"/>
    </xf>
    <xf numFmtId="0" fontId="2" fillId="3" borderId="7" xfId="0" applyFont="1" applyFill="1" applyBorder="1" applyAlignment="1">
      <alignment horizontal="left" vertical="center"/>
    </xf>
    <xf numFmtId="0" fontId="4" fillId="0" borderId="18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51" xfId="0" applyFont="1" applyBorder="1" applyAlignment="1">
      <alignment horizontal="left" vertical="center"/>
    </xf>
    <xf numFmtId="0" fontId="3" fillId="0" borderId="51" xfId="0" applyFont="1" applyBorder="1" applyAlignment="1">
      <alignment horizontal="left" vertical="center"/>
    </xf>
    <xf numFmtId="9" fontId="15" fillId="0" borderId="0" xfId="2" applyFont="1" applyFill="1"/>
    <xf numFmtId="166" fontId="15" fillId="5" borderId="0" xfId="0" applyNumberFormat="1" applyFont="1" applyFill="1" applyBorder="1" applyAlignment="1">
      <alignment vertical="center"/>
    </xf>
    <xf numFmtId="166" fontId="15" fillId="5" borderId="2" xfId="0" applyNumberFormat="1" applyFont="1" applyFill="1" applyBorder="1" applyAlignment="1">
      <alignment horizontal="right" vertical="center"/>
    </xf>
    <xf numFmtId="0" fontId="3" fillId="3" borderId="18" xfId="0" applyFont="1" applyFill="1" applyBorder="1" applyAlignment="1">
      <alignment horizontal="left" vertical="center"/>
    </xf>
    <xf numFmtId="0" fontId="13" fillId="0" borderId="47" xfId="0" applyFont="1" applyBorder="1" applyAlignment="1"/>
    <xf numFmtId="0" fontId="3" fillId="0" borderId="0" xfId="0" applyFont="1" applyAlignment="1">
      <alignment horizontal="center"/>
    </xf>
    <xf numFmtId="1" fontId="13" fillId="0" borderId="43" xfId="0" applyNumberFormat="1" applyFont="1" applyBorder="1"/>
    <xf numFmtId="1" fontId="13" fillId="0" borderId="27" xfId="0" applyNumberFormat="1" applyFont="1" applyBorder="1"/>
    <xf numFmtId="166" fontId="15" fillId="3" borderId="0" xfId="0" applyNumberFormat="1" applyFont="1" applyFill="1" applyBorder="1" applyAlignment="1">
      <alignment horizontal="right" vertical="center"/>
    </xf>
    <xf numFmtId="3" fontId="0" fillId="0" borderId="0" xfId="0" applyNumberFormat="1"/>
    <xf numFmtId="3" fontId="7" fillId="0" borderId="0" xfId="0" applyNumberFormat="1" applyFont="1"/>
    <xf numFmtId="0" fontId="2" fillId="0" borderId="33" xfId="0" applyFont="1" applyBorder="1" applyAlignment="1">
      <alignment horizontal="right" vertical="center" wrapText="1" indent="2"/>
    </xf>
    <xf numFmtId="0" fontId="2" fillId="0" borderId="47" xfId="0" applyFont="1" applyBorder="1" applyAlignment="1">
      <alignment horizontal="right" vertical="center" wrapText="1" indent="1"/>
    </xf>
    <xf numFmtId="3" fontId="3" fillId="0" borderId="33" xfId="0" applyNumberFormat="1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right" vertical="center" wrapText="1" indent="1"/>
    </xf>
    <xf numFmtId="3" fontId="4" fillId="6" borderId="11" xfId="0" applyNumberFormat="1" applyFont="1" applyFill="1" applyBorder="1" applyAlignment="1">
      <alignment horizontal="center" vertical="center" wrapText="1"/>
    </xf>
    <xf numFmtId="3" fontId="4" fillId="6" borderId="41" xfId="0" applyNumberFormat="1" applyFont="1" applyFill="1" applyBorder="1" applyAlignment="1">
      <alignment horizontal="center" vertical="center" wrapText="1"/>
    </xf>
    <xf numFmtId="3" fontId="3" fillId="2" borderId="48" xfId="0" applyNumberFormat="1" applyFont="1" applyFill="1" applyBorder="1" applyAlignment="1">
      <alignment horizontal="center" vertical="center" wrapText="1"/>
    </xf>
    <xf numFmtId="3" fontId="2" fillId="7" borderId="58" xfId="0" applyNumberFormat="1" applyFont="1" applyFill="1" applyBorder="1" applyAlignment="1">
      <alignment horizontal="center" vertical="center" wrapText="1"/>
    </xf>
    <xf numFmtId="0" fontId="2" fillId="0" borderId="55" xfId="0" applyFont="1" applyBorder="1" applyAlignment="1">
      <alignment horizontal="left" vertical="center" wrapText="1" indent="1"/>
    </xf>
    <xf numFmtId="0" fontId="2" fillId="0" borderId="51" xfId="0" applyFont="1" applyBorder="1" applyAlignment="1">
      <alignment horizontal="left" vertical="center" wrapText="1" indent="1"/>
    </xf>
    <xf numFmtId="0" fontId="4" fillId="6" borderId="59" xfId="0" applyFont="1" applyFill="1" applyBorder="1" applyAlignment="1">
      <alignment horizontal="left" vertical="center" wrapText="1" indent="1"/>
    </xf>
    <xf numFmtId="0" fontId="3" fillId="2" borderId="51" xfId="0" applyFont="1" applyFill="1" applyBorder="1" applyAlignment="1">
      <alignment horizontal="left" vertical="center" wrapText="1" indent="1"/>
    </xf>
    <xf numFmtId="0" fontId="2" fillId="7" borderId="60" xfId="0" applyFont="1" applyFill="1" applyBorder="1" applyAlignment="1">
      <alignment horizontal="left" vertical="center" wrapText="1" indent="1"/>
    </xf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indent="1"/>
    </xf>
    <xf numFmtId="164" fontId="5" fillId="0" borderId="0" xfId="1" applyFont="1"/>
    <xf numFmtId="3" fontId="3" fillId="0" borderId="2" xfId="0" applyNumberFormat="1" applyFont="1" applyBorder="1"/>
    <xf numFmtId="3" fontId="4" fillId="0" borderId="2" xfId="0" applyNumberFormat="1" applyFont="1" applyBorder="1"/>
    <xf numFmtId="3" fontId="2" fillId="4" borderId="26" xfId="1" applyNumberFormat="1" applyFont="1" applyFill="1" applyBorder="1" applyAlignment="1"/>
    <xf numFmtId="3" fontId="2" fillId="4" borderId="30" xfId="1" applyNumberFormat="1" applyFont="1" applyFill="1" applyBorder="1" applyAlignment="1"/>
    <xf numFmtId="0" fontId="3" fillId="0" borderId="0" xfId="0" applyFont="1" applyAlignment="1">
      <alignment horizontal="left" vertical="center"/>
    </xf>
    <xf numFmtId="0" fontId="3" fillId="3" borderId="15" xfId="0" applyFont="1" applyFill="1" applyBorder="1" applyAlignment="1">
      <alignment horizontal="left" vertical="center"/>
    </xf>
    <xf numFmtId="165" fontId="3" fillId="0" borderId="2" xfId="1" applyNumberFormat="1" applyFont="1" applyBorder="1" applyAlignment="1">
      <alignment horizontal="center" vertical="center" wrapText="1"/>
    </xf>
    <xf numFmtId="165" fontId="3" fillId="0" borderId="33" xfId="1" applyNumberFormat="1" applyFont="1" applyBorder="1" applyAlignment="1">
      <alignment horizontal="center" vertical="center" wrapText="1"/>
    </xf>
    <xf numFmtId="10" fontId="3" fillId="0" borderId="0" xfId="2" applyNumberFormat="1" applyFont="1"/>
    <xf numFmtId="14" fontId="2" fillId="2" borderId="35" xfId="0" applyNumberFormat="1" applyFont="1" applyFill="1" applyBorder="1" applyAlignment="1">
      <alignment horizontal="center" vertical="center"/>
    </xf>
    <xf numFmtId="14" fontId="2" fillId="2" borderId="28" xfId="0" applyNumberFormat="1" applyFont="1" applyFill="1" applyBorder="1" applyAlignment="1">
      <alignment horizontal="center" vertical="center"/>
    </xf>
    <xf numFmtId="165" fontId="0" fillId="0" borderId="0" xfId="0" applyNumberFormat="1"/>
    <xf numFmtId="0" fontId="2" fillId="0" borderId="0" xfId="0" applyFont="1" applyAlignment="1">
      <alignment horizontal="left" vertical="center"/>
    </xf>
    <xf numFmtId="0" fontId="2" fillId="3" borderId="39" xfId="0" applyFont="1" applyFill="1" applyBorder="1" applyAlignment="1">
      <alignment horizontal="center"/>
    </xf>
    <xf numFmtId="0" fontId="2" fillId="3" borderId="48" xfId="0" applyFont="1" applyFill="1" applyBorder="1" applyAlignment="1">
      <alignment horizontal="center" vertical="center"/>
    </xf>
    <xf numFmtId="0" fontId="3" fillId="3" borderId="47" xfId="0" applyFont="1" applyFill="1" applyBorder="1" applyAlignment="1">
      <alignment horizontal="center" vertical="center"/>
    </xf>
    <xf numFmtId="0" fontId="2" fillId="3" borderId="39" xfId="0" applyFont="1" applyFill="1" applyBorder="1" applyAlignment="1">
      <alignment horizontal="center" vertical="center"/>
    </xf>
    <xf numFmtId="0" fontId="2" fillId="3" borderId="49" xfId="0" applyFont="1" applyFill="1" applyBorder="1" applyAlignment="1">
      <alignment horizontal="center" vertical="center"/>
    </xf>
    <xf numFmtId="9" fontId="3" fillId="0" borderId="0" xfId="0" applyNumberFormat="1" applyFont="1"/>
    <xf numFmtId="0" fontId="3" fillId="0" borderId="0" xfId="0" applyFont="1" applyAlignment="1"/>
    <xf numFmtId="0" fontId="2" fillId="3" borderId="23" xfId="0" applyFont="1" applyFill="1" applyBorder="1" applyAlignment="1">
      <alignment horizontal="center" vertical="center" wrapText="1"/>
    </xf>
    <xf numFmtId="3" fontId="2" fillId="3" borderId="20" xfId="1" applyNumberFormat="1" applyFont="1" applyFill="1" applyBorder="1" applyAlignment="1">
      <alignment horizontal="center" vertical="center"/>
    </xf>
    <xf numFmtId="3" fontId="2" fillId="3" borderId="9" xfId="1" applyNumberFormat="1" applyFont="1" applyFill="1" applyBorder="1" applyAlignment="1">
      <alignment horizontal="center" vertical="center"/>
    </xf>
    <xf numFmtId="0" fontId="3" fillId="0" borderId="66" xfId="0" applyFont="1" applyBorder="1" applyAlignment="1">
      <alignment horizontal="justify" vertical="center" wrapText="1"/>
    </xf>
    <xf numFmtId="0" fontId="3" fillId="0" borderId="68" xfId="0" applyFont="1" applyBorder="1" applyAlignment="1">
      <alignment horizontal="justify" vertical="center" wrapText="1"/>
    </xf>
    <xf numFmtId="0" fontId="2" fillId="3" borderId="10" xfId="0" applyFont="1" applyFill="1" applyBorder="1" applyAlignment="1">
      <alignment horizontal="left" vertical="center" wrapText="1"/>
    </xf>
    <xf numFmtId="0" fontId="2" fillId="3" borderId="41" xfId="0" applyFont="1" applyFill="1" applyBorder="1" applyAlignment="1">
      <alignment horizontal="center"/>
    </xf>
    <xf numFmtId="165" fontId="2" fillId="3" borderId="64" xfId="1" applyNumberFormat="1" applyFont="1" applyFill="1" applyBorder="1" applyAlignment="1">
      <alignment horizontal="center"/>
    </xf>
    <xf numFmtId="165" fontId="2" fillId="3" borderId="12" xfId="1" applyNumberFormat="1" applyFont="1" applyFill="1" applyBorder="1" applyAlignment="1">
      <alignment horizontal="center"/>
    </xf>
    <xf numFmtId="0" fontId="4" fillId="3" borderId="18" xfId="0" applyFont="1" applyFill="1" applyBorder="1" applyAlignment="1">
      <alignment horizontal="left" vertical="center" wrapText="1"/>
    </xf>
    <xf numFmtId="0" fontId="4" fillId="3" borderId="15" xfId="0" applyFont="1" applyFill="1" applyBorder="1" applyAlignment="1">
      <alignment horizontal="left" vertical="center" wrapText="1"/>
    </xf>
    <xf numFmtId="0" fontId="9" fillId="3" borderId="15" xfId="0" applyFont="1" applyFill="1" applyBorder="1" applyAlignment="1">
      <alignment horizontal="left" vertical="center" wrapText="1"/>
    </xf>
    <xf numFmtId="0" fontId="2" fillId="3" borderId="13" xfId="0" applyFont="1" applyFill="1" applyBorder="1" applyAlignment="1">
      <alignment horizontal="left" vertical="center" wrapText="1"/>
    </xf>
    <xf numFmtId="3" fontId="3" fillId="3" borderId="50" xfId="0" applyNumberFormat="1" applyFont="1" applyFill="1" applyBorder="1"/>
    <xf numFmtId="3" fontId="3" fillId="3" borderId="46" xfId="0" applyNumberFormat="1" applyFont="1" applyFill="1" applyBorder="1"/>
    <xf numFmtId="3" fontId="2" fillId="3" borderId="46" xfId="0" applyNumberFormat="1" applyFont="1" applyFill="1" applyBorder="1" applyAlignment="1">
      <alignment horizontal="right" vertical="center" wrapText="1"/>
    </xf>
    <xf numFmtId="0" fontId="4" fillId="3" borderId="7" xfId="0" applyFont="1" applyFill="1" applyBorder="1" applyAlignment="1">
      <alignment horizontal="left" vertical="center"/>
    </xf>
    <xf numFmtId="3" fontId="4" fillId="3" borderId="26" xfId="1" applyNumberFormat="1" applyFont="1" applyFill="1" applyBorder="1" applyAlignment="1">
      <alignment horizontal="right"/>
    </xf>
    <xf numFmtId="3" fontId="4" fillId="3" borderId="8" xfId="1" applyNumberFormat="1" applyFont="1" applyFill="1" applyBorder="1" applyAlignment="1">
      <alignment horizontal="right"/>
    </xf>
    <xf numFmtId="3" fontId="4" fillId="3" borderId="9" xfId="1" applyNumberFormat="1" applyFont="1" applyFill="1" applyBorder="1" applyAlignment="1">
      <alignment horizontal="right"/>
    </xf>
    <xf numFmtId="3" fontId="17" fillId="3" borderId="51" xfId="0" applyNumberFormat="1" applyFont="1" applyFill="1" applyBorder="1" applyAlignment="1">
      <alignment horizontal="center" vertical="center"/>
    </xf>
    <xf numFmtId="3" fontId="17" fillId="3" borderId="42" xfId="0" applyNumberFormat="1" applyFont="1" applyFill="1" applyBorder="1" applyAlignment="1">
      <alignment horizontal="center" vertical="center"/>
    </xf>
    <xf numFmtId="3" fontId="17" fillId="3" borderId="51" xfId="0" applyNumberFormat="1" applyFont="1" applyFill="1" applyBorder="1" applyAlignment="1">
      <alignment horizontal="center" vertical="center" wrapText="1"/>
    </xf>
    <xf numFmtId="3" fontId="17" fillId="3" borderId="42" xfId="0" applyNumberFormat="1" applyFont="1" applyFill="1" applyBorder="1" applyAlignment="1">
      <alignment horizontal="center" vertical="center" wrapText="1"/>
    </xf>
    <xf numFmtId="3" fontId="17" fillId="3" borderId="56" xfId="0" applyNumberFormat="1" applyFont="1" applyFill="1" applyBorder="1" applyAlignment="1">
      <alignment horizontal="center"/>
    </xf>
    <xf numFmtId="3" fontId="17" fillId="3" borderId="50" xfId="1" applyNumberFormat="1" applyFont="1" applyFill="1" applyBorder="1" applyAlignment="1">
      <alignment horizontal="center"/>
    </xf>
    <xf numFmtId="3" fontId="17" fillId="3" borderId="56" xfId="1" applyNumberFormat="1" applyFont="1" applyFill="1" applyBorder="1" applyAlignment="1">
      <alignment horizontal="center"/>
    </xf>
    <xf numFmtId="3" fontId="17" fillId="3" borderId="63" xfId="1" applyNumberFormat="1" applyFont="1" applyFill="1" applyBorder="1" applyAlignment="1">
      <alignment horizontal="center" vertical="center"/>
    </xf>
    <xf numFmtId="3" fontId="17" fillId="3" borderId="52" xfId="1" applyNumberFormat="1" applyFont="1" applyFill="1" applyBorder="1" applyAlignment="1">
      <alignment horizontal="center" vertical="center"/>
    </xf>
    <xf numFmtId="3" fontId="15" fillId="3" borderId="51" xfId="1" applyNumberFormat="1" applyFont="1" applyFill="1" applyBorder="1" applyAlignment="1">
      <alignment horizontal="center"/>
    </xf>
    <xf numFmtId="3" fontId="15" fillId="3" borderId="42" xfId="1" applyNumberFormat="1" applyFont="1" applyFill="1" applyBorder="1" applyAlignment="1">
      <alignment horizontal="center"/>
    </xf>
    <xf numFmtId="3" fontId="17" fillId="3" borderId="51" xfId="1" applyNumberFormat="1" applyFont="1" applyFill="1" applyBorder="1" applyAlignment="1">
      <alignment horizontal="center"/>
    </xf>
    <xf numFmtId="3" fontId="17" fillId="3" borderId="42" xfId="1" applyNumberFormat="1" applyFont="1" applyFill="1" applyBorder="1" applyAlignment="1">
      <alignment horizontal="center"/>
    </xf>
    <xf numFmtId="3" fontId="17" fillId="3" borderId="56" xfId="1" applyNumberFormat="1" applyFont="1" applyFill="1" applyBorder="1" applyAlignment="1">
      <alignment horizontal="center" vertical="center"/>
    </xf>
    <xf numFmtId="3" fontId="17" fillId="3" borderId="50" xfId="1" applyNumberFormat="1" applyFont="1" applyFill="1" applyBorder="1" applyAlignment="1">
      <alignment horizontal="center" vertical="center"/>
    </xf>
    <xf numFmtId="3" fontId="15" fillId="3" borderId="63" xfId="1" applyNumberFormat="1" applyFont="1" applyFill="1" applyBorder="1" applyAlignment="1">
      <alignment horizontal="center"/>
    </xf>
    <xf numFmtId="3" fontId="15" fillId="3" borderId="52" xfId="1" applyNumberFormat="1" applyFont="1" applyFill="1" applyBorder="1" applyAlignment="1">
      <alignment horizontal="center"/>
    </xf>
    <xf numFmtId="3" fontId="17" fillId="3" borderId="34" xfId="1" applyNumberFormat="1" applyFont="1" applyFill="1" applyBorder="1" applyAlignment="1">
      <alignment horizontal="center" vertical="center"/>
    </xf>
    <xf numFmtId="3" fontId="17" fillId="3" borderId="53" xfId="1" applyNumberFormat="1" applyFont="1" applyFill="1" applyBorder="1" applyAlignment="1">
      <alignment horizontal="center" vertical="center"/>
    </xf>
    <xf numFmtId="0" fontId="2" fillId="3" borderId="63" xfId="0" applyFont="1" applyFill="1" applyBorder="1" applyAlignment="1">
      <alignment horizontal="left" vertical="center"/>
    </xf>
    <xf numFmtId="0" fontId="3" fillId="3" borderId="51" xfId="0" applyFont="1" applyFill="1" applyBorder="1" applyAlignment="1">
      <alignment horizontal="left" vertical="center"/>
    </xf>
    <xf numFmtId="0" fontId="3" fillId="3" borderId="51" xfId="0" applyFont="1" applyFill="1" applyBorder="1" applyAlignment="1">
      <alignment horizontal="left" vertical="center" wrapText="1"/>
    </xf>
    <xf numFmtId="0" fontId="2" fillId="3" borderId="56" xfId="0" applyFont="1" applyFill="1" applyBorder="1" applyAlignment="1">
      <alignment horizontal="left" vertical="center"/>
    </xf>
    <xf numFmtId="0" fontId="3" fillId="3" borderId="63" xfId="0" applyFont="1" applyFill="1" applyBorder="1" applyAlignment="1">
      <alignment horizontal="left" vertical="center"/>
    </xf>
    <xf numFmtId="0" fontId="2" fillId="3" borderId="34" xfId="0" applyFont="1" applyFill="1" applyBorder="1" applyAlignment="1">
      <alignment horizontal="left" vertical="center"/>
    </xf>
    <xf numFmtId="0" fontId="2" fillId="3" borderId="50" xfId="0" applyFont="1" applyFill="1" applyBorder="1" applyAlignment="1">
      <alignment horizontal="center"/>
    </xf>
    <xf numFmtId="0" fontId="2" fillId="3" borderId="52" xfId="0" applyFont="1" applyFill="1" applyBorder="1" applyAlignment="1">
      <alignment horizontal="center" vertical="center"/>
    </xf>
    <xf numFmtId="0" fontId="3" fillId="3" borderId="42" xfId="0" applyFont="1" applyFill="1" applyBorder="1" applyAlignment="1">
      <alignment horizontal="center"/>
    </xf>
    <xf numFmtId="0" fontId="3" fillId="3" borderId="42" xfId="0" applyFont="1" applyFill="1" applyBorder="1" applyAlignment="1">
      <alignment horizontal="center" vertical="center"/>
    </xf>
    <xf numFmtId="0" fontId="2" fillId="3" borderId="50" xfId="0" applyFont="1" applyFill="1" applyBorder="1" applyAlignment="1">
      <alignment horizontal="center" vertical="center"/>
    </xf>
    <xf numFmtId="0" fontId="3" fillId="3" borderId="52" xfId="0" applyFont="1" applyFill="1" applyBorder="1" applyAlignment="1">
      <alignment horizontal="center"/>
    </xf>
    <xf numFmtId="0" fontId="2" fillId="3" borderId="53" xfId="0" applyFont="1" applyFill="1" applyBorder="1" applyAlignment="1">
      <alignment horizontal="center" vertical="center"/>
    </xf>
    <xf numFmtId="165" fontId="2" fillId="3" borderId="32" xfId="1" applyNumberFormat="1" applyFont="1" applyFill="1" applyBorder="1" applyAlignment="1">
      <alignment horizontal="center"/>
    </xf>
    <xf numFmtId="3" fontId="4" fillId="3" borderId="36" xfId="0" applyNumberFormat="1" applyFont="1" applyFill="1" applyBorder="1"/>
    <xf numFmtId="3" fontId="4" fillId="3" borderId="33" xfId="0" applyNumberFormat="1" applyFont="1" applyFill="1" applyBorder="1"/>
    <xf numFmtId="3" fontId="10" fillId="3" borderId="33" xfId="0" applyNumberFormat="1" applyFont="1" applyFill="1" applyBorder="1" applyAlignment="1">
      <alignment horizontal="right"/>
    </xf>
    <xf numFmtId="3" fontId="3" fillId="3" borderId="33" xfId="0" applyNumberFormat="1" applyFont="1" applyFill="1" applyBorder="1"/>
    <xf numFmtId="165" fontId="3" fillId="3" borderId="32" xfId="1" applyNumberFormat="1" applyFont="1" applyFill="1" applyBorder="1" applyAlignment="1">
      <alignment horizontal="center"/>
    </xf>
    <xf numFmtId="3" fontId="4" fillId="3" borderId="30" xfId="1" applyNumberFormat="1" applyFont="1" applyFill="1" applyBorder="1" applyAlignment="1">
      <alignment horizontal="right"/>
    </xf>
    <xf numFmtId="3" fontId="4" fillId="0" borderId="18" xfId="0" applyNumberFormat="1" applyFont="1" applyBorder="1"/>
    <xf numFmtId="3" fontId="3" fillId="0" borderId="15" xfId="0" applyNumberFormat="1" applyFont="1" applyBorder="1"/>
    <xf numFmtId="3" fontId="4" fillId="0" borderId="15" xfId="0" applyNumberFormat="1" applyFont="1" applyBorder="1"/>
    <xf numFmtId="3" fontId="17" fillId="3" borderId="14" xfId="1" applyNumberFormat="1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/>
    </xf>
    <xf numFmtId="3" fontId="2" fillId="3" borderId="7" xfId="1" applyNumberFormat="1" applyFont="1" applyFill="1" applyBorder="1" applyAlignment="1"/>
    <xf numFmtId="3" fontId="2" fillId="3" borderId="26" xfId="1" applyNumberFormat="1" applyFont="1" applyFill="1" applyBorder="1" applyAlignment="1"/>
    <xf numFmtId="3" fontId="2" fillId="3" borderId="30" xfId="1" applyNumberFormat="1" applyFont="1" applyFill="1" applyBorder="1" applyAlignment="1"/>
    <xf numFmtId="0" fontId="3" fillId="3" borderId="0" xfId="0" applyFont="1" applyFill="1"/>
    <xf numFmtId="3" fontId="4" fillId="3" borderId="62" xfId="1" applyNumberFormat="1" applyFont="1" applyFill="1" applyBorder="1" applyAlignment="1">
      <alignment horizontal="right"/>
    </xf>
    <xf numFmtId="3" fontId="4" fillId="3" borderId="49" xfId="1" applyNumberFormat="1" applyFont="1" applyFill="1" applyBorder="1" applyAlignment="1">
      <alignment horizontal="right"/>
    </xf>
    <xf numFmtId="0" fontId="2" fillId="3" borderId="12" xfId="0" applyFont="1" applyFill="1" applyBorder="1" applyAlignment="1">
      <alignment horizontal="center"/>
    </xf>
    <xf numFmtId="169" fontId="3" fillId="3" borderId="32" xfId="1" applyNumberFormat="1" applyFont="1" applyFill="1" applyBorder="1" applyAlignment="1">
      <alignment horizontal="right"/>
    </xf>
    <xf numFmtId="0" fontId="20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19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left" vertical="center" wrapText="1"/>
    </xf>
    <xf numFmtId="3" fontId="20" fillId="0" borderId="1" xfId="0" applyNumberFormat="1" applyFont="1" applyBorder="1" applyAlignment="1">
      <alignment horizontal="right" vertical="center" wrapText="1"/>
    </xf>
    <xf numFmtId="166" fontId="20" fillId="0" borderId="1" xfId="0" applyNumberFormat="1" applyFont="1" applyBorder="1" applyAlignment="1">
      <alignment horizontal="right" vertical="center" wrapText="1"/>
    </xf>
    <xf numFmtId="3" fontId="20" fillId="0" borderId="1" xfId="0" applyNumberFormat="1" applyFont="1" applyFill="1" applyBorder="1" applyAlignment="1">
      <alignment horizontal="right" vertical="center" wrapText="1"/>
    </xf>
    <xf numFmtId="0" fontId="21" fillId="0" borderId="1" xfId="0" applyFont="1" applyBorder="1" applyAlignment="1">
      <alignment vertical="center" wrapText="1"/>
    </xf>
    <xf numFmtId="3" fontId="22" fillId="0" borderId="1" xfId="0" applyNumberFormat="1" applyFont="1" applyBorder="1" applyAlignment="1">
      <alignment horizontal="right" vertical="center" wrapText="1"/>
    </xf>
    <xf numFmtId="171" fontId="0" fillId="0" borderId="0" xfId="1" applyNumberFormat="1" applyFont="1"/>
    <xf numFmtId="165" fontId="0" fillId="0" borderId="0" xfId="1" applyNumberFormat="1" applyFont="1"/>
    <xf numFmtId="170" fontId="18" fillId="0" borderId="0" xfId="2" applyNumberFormat="1" applyFont="1"/>
    <xf numFmtId="0" fontId="25" fillId="0" borderId="0" xfId="0" applyFont="1"/>
    <xf numFmtId="3" fontId="20" fillId="3" borderId="1" xfId="0" applyNumberFormat="1" applyFont="1" applyFill="1" applyBorder="1" applyAlignment="1">
      <alignment horizontal="right" vertical="center" wrapText="1"/>
    </xf>
    <xf numFmtId="3" fontId="2" fillId="3" borderId="18" xfId="1" applyNumberFormat="1" applyFont="1" applyFill="1" applyBorder="1" applyAlignment="1">
      <alignment horizontal="center" vertical="center"/>
    </xf>
    <xf numFmtId="3" fontId="2" fillId="3" borderId="19" xfId="1" applyNumberFormat="1" applyFont="1" applyFill="1" applyBorder="1" applyAlignment="1">
      <alignment horizontal="center" vertical="center"/>
    </xf>
    <xf numFmtId="3" fontId="2" fillId="3" borderId="48" xfId="1" applyNumberFormat="1" applyFont="1" applyFill="1" applyBorder="1" applyAlignment="1">
      <alignment horizontal="center" vertical="center"/>
    </xf>
    <xf numFmtId="3" fontId="17" fillId="3" borderId="13" xfId="1" applyNumberFormat="1" applyFont="1" applyFill="1" applyBorder="1" applyAlignment="1">
      <alignment horizontal="center" vertical="center"/>
    </xf>
    <xf numFmtId="3" fontId="17" fillId="3" borderId="1" xfId="1" applyNumberFormat="1" applyFont="1" applyFill="1" applyBorder="1" applyAlignment="1">
      <alignment horizontal="center" vertical="center"/>
    </xf>
    <xf numFmtId="3" fontId="17" fillId="3" borderId="39" xfId="1" applyNumberFormat="1" applyFont="1" applyFill="1" applyBorder="1" applyAlignment="1">
      <alignment horizontal="center" vertical="center"/>
    </xf>
    <xf numFmtId="3" fontId="2" fillId="3" borderId="7" xfId="1" applyNumberFormat="1" applyFont="1" applyFill="1" applyBorder="1" applyAlignment="1">
      <alignment horizontal="center" vertical="center"/>
    </xf>
    <xf numFmtId="3" fontId="2" fillId="3" borderId="8" xfId="1" applyNumberFormat="1" applyFont="1" applyFill="1" applyBorder="1" applyAlignment="1">
      <alignment horizontal="center" vertical="center"/>
    </xf>
    <xf numFmtId="3" fontId="2" fillId="3" borderId="49" xfId="1" applyNumberFormat="1" applyFont="1" applyFill="1" applyBorder="1" applyAlignment="1">
      <alignment horizontal="center" vertical="center"/>
    </xf>
    <xf numFmtId="165" fontId="13" fillId="0" borderId="43" xfId="1" applyNumberFormat="1" applyFont="1" applyBorder="1"/>
    <xf numFmtId="0" fontId="13" fillId="0" borderId="47" xfId="0" applyFont="1" applyBorder="1"/>
    <xf numFmtId="165" fontId="13" fillId="0" borderId="41" xfId="1" applyNumberFormat="1" applyFont="1" applyBorder="1"/>
    <xf numFmtId="165" fontId="13" fillId="0" borderId="27" xfId="1" applyNumberFormat="1" applyFont="1" applyBorder="1"/>
    <xf numFmtId="1" fontId="13" fillId="0" borderId="41" xfId="0" applyNumberFormat="1" applyFont="1" applyBorder="1"/>
    <xf numFmtId="3" fontId="13" fillId="0" borderId="47" xfId="0" applyNumberFormat="1" applyFont="1" applyBorder="1"/>
    <xf numFmtId="3" fontId="13" fillId="0" borderId="41" xfId="0" applyNumberFormat="1" applyFont="1" applyBorder="1"/>
    <xf numFmtId="0" fontId="13" fillId="0" borderId="48" xfId="0" applyFont="1" applyBorder="1"/>
    <xf numFmtId="3" fontId="2" fillId="0" borderId="41" xfId="0" applyNumberFormat="1" applyFont="1" applyBorder="1"/>
    <xf numFmtId="0" fontId="13" fillId="0" borderId="48" xfId="0" applyFont="1" applyBorder="1" applyAlignment="1"/>
    <xf numFmtId="0" fontId="13" fillId="0" borderId="41" xfId="0" applyFont="1" applyBorder="1"/>
    <xf numFmtId="0" fontId="2" fillId="0" borderId="5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left" vertical="center" wrapText="1"/>
    </xf>
    <xf numFmtId="0" fontId="4" fillId="4" borderId="7" xfId="0" applyFont="1" applyFill="1" applyBorder="1" applyAlignment="1">
      <alignment horizontal="left" vertical="center"/>
    </xf>
    <xf numFmtId="3" fontId="2" fillId="3" borderId="13" xfId="0" applyNumberFormat="1" applyFont="1" applyFill="1" applyBorder="1" applyAlignment="1">
      <alignment horizontal="center" vertical="center"/>
    </xf>
    <xf numFmtId="3" fontId="2" fillId="3" borderId="1" xfId="0" applyNumberFormat="1" applyFont="1" applyFill="1" applyBorder="1" applyAlignment="1">
      <alignment horizontal="center" vertical="center"/>
    </xf>
    <xf numFmtId="3" fontId="2" fillId="3" borderId="39" xfId="0" applyNumberFormat="1" applyFont="1" applyFill="1" applyBorder="1" applyAlignment="1">
      <alignment horizontal="center" vertical="center"/>
    </xf>
    <xf numFmtId="3" fontId="2" fillId="3" borderId="14" xfId="0" applyNumberFormat="1" applyFont="1" applyFill="1" applyBorder="1" applyAlignment="1">
      <alignment horizontal="center" vertical="center"/>
    </xf>
    <xf numFmtId="3" fontId="2" fillId="3" borderId="13" xfId="1" applyNumberFormat="1" applyFont="1" applyFill="1" applyBorder="1" applyAlignment="1">
      <alignment horizontal="center" vertical="center"/>
    </xf>
    <xf numFmtId="3" fontId="2" fillId="3" borderId="1" xfId="1" applyNumberFormat="1" applyFont="1" applyFill="1" applyBorder="1" applyAlignment="1">
      <alignment horizontal="center" vertical="center"/>
    </xf>
    <xf numFmtId="3" fontId="2" fillId="3" borderId="39" xfId="1" applyNumberFormat="1" applyFont="1" applyFill="1" applyBorder="1" applyAlignment="1">
      <alignment horizontal="center" vertical="center"/>
    </xf>
    <xf numFmtId="3" fontId="2" fillId="3" borderId="14" xfId="1" applyNumberFormat="1" applyFont="1" applyFill="1" applyBorder="1" applyAlignment="1">
      <alignment horizontal="center" vertical="center"/>
    </xf>
    <xf numFmtId="3" fontId="3" fillId="3" borderId="15" xfId="1" applyNumberFormat="1" applyFont="1" applyFill="1" applyBorder="1" applyAlignment="1">
      <alignment horizontal="center" vertical="center"/>
    </xf>
    <xf numFmtId="3" fontId="3" fillId="3" borderId="16" xfId="1" applyNumberFormat="1" applyFont="1" applyFill="1" applyBorder="1" applyAlignment="1">
      <alignment horizontal="center" vertical="center"/>
    </xf>
    <xf numFmtId="3" fontId="3" fillId="3" borderId="47" xfId="1" applyNumberFormat="1" applyFont="1" applyFill="1" applyBorder="1" applyAlignment="1">
      <alignment horizontal="center" vertical="center"/>
    </xf>
    <xf numFmtId="3" fontId="3" fillId="3" borderId="17" xfId="1" applyNumberFormat="1" applyFont="1" applyFill="1" applyBorder="1" applyAlignment="1">
      <alignment horizontal="center" vertical="center"/>
    </xf>
    <xf numFmtId="0" fontId="3" fillId="3" borderId="48" xfId="0" applyFont="1" applyFill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4" fillId="3" borderId="20" xfId="0" applyFont="1" applyFill="1" applyBorder="1" applyAlignment="1">
      <alignment horizontal="center"/>
    </xf>
    <xf numFmtId="0" fontId="4" fillId="3" borderId="17" xfId="0" applyFont="1" applyFill="1" applyBorder="1" applyAlignment="1">
      <alignment horizontal="center"/>
    </xf>
    <xf numFmtId="0" fontId="3" fillId="3" borderId="17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165" fontId="2" fillId="3" borderId="27" xfId="1" applyNumberFormat="1" applyFont="1" applyFill="1" applyBorder="1" applyAlignment="1">
      <alignment horizontal="center"/>
    </xf>
    <xf numFmtId="165" fontId="2" fillId="3" borderId="11" xfId="1" applyNumberFormat="1" applyFont="1" applyFill="1" applyBorder="1" applyAlignment="1">
      <alignment horizontal="center"/>
    </xf>
    <xf numFmtId="3" fontId="4" fillId="3" borderId="45" xfId="0" applyNumberFormat="1" applyFont="1" applyFill="1" applyBorder="1"/>
    <xf numFmtId="3" fontId="4" fillId="3" borderId="2" xfId="0" applyNumberFormat="1" applyFont="1" applyFill="1" applyBorder="1"/>
    <xf numFmtId="3" fontId="10" fillId="3" borderId="2" xfId="0" applyNumberFormat="1" applyFont="1" applyFill="1" applyBorder="1" applyAlignment="1">
      <alignment horizontal="right"/>
    </xf>
    <xf numFmtId="3" fontId="3" fillId="3" borderId="2" xfId="0" applyNumberFormat="1" applyFont="1" applyFill="1" applyBorder="1"/>
    <xf numFmtId="169" fontId="3" fillId="3" borderId="27" xfId="1" applyNumberFormat="1" applyFont="1" applyFill="1" applyBorder="1" applyAlignment="1">
      <alignment horizontal="right"/>
    </xf>
    <xf numFmtId="165" fontId="3" fillId="3" borderId="27" xfId="1" applyNumberFormat="1" applyFont="1" applyFill="1" applyBorder="1" applyAlignment="1">
      <alignment horizontal="center"/>
    </xf>
    <xf numFmtId="3" fontId="3" fillId="3" borderId="38" xfId="0" applyNumberFormat="1" applyFont="1" applyFill="1" applyBorder="1"/>
    <xf numFmtId="3" fontId="2" fillId="3" borderId="38" xfId="0" applyNumberFormat="1" applyFont="1" applyFill="1" applyBorder="1" applyAlignment="1">
      <alignment horizontal="right" vertical="center" wrapText="1"/>
    </xf>
    <xf numFmtId="0" fontId="17" fillId="2" borderId="21" xfId="0" applyFont="1" applyFill="1" applyBorder="1" applyAlignment="1">
      <alignment horizontal="center"/>
    </xf>
    <xf numFmtId="0" fontId="17" fillId="2" borderId="35" xfId="0" applyFont="1" applyFill="1" applyBorder="1" applyAlignment="1">
      <alignment horizontal="center"/>
    </xf>
    <xf numFmtId="0" fontId="17" fillId="2" borderId="28" xfId="0" applyFont="1" applyFill="1" applyBorder="1" applyAlignment="1">
      <alignment horizontal="center"/>
    </xf>
    <xf numFmtId="0" fontId="17" fillId="2" borderId="22" xfId="0" applyFont="1" applyFill="1" applyBorder="1" applyAlignment="1">
      <alignment horizontal="center"/>
    </xf>
    <xf numFmtId="0" fontId="17" fillId="8" borderId="21" xfId="0" applyFont="1" applyFill="1" applyBorder="1" applyAlignment="1">
      <alignment horizontal="center"/>
    </xf>
    <xf numFmtId="0" fontId="17" fillId="8" borderId="35" xfId="0" applyFont="1" applyFill="1" applyBorder="1" applyAlignment="1">
      <alignment horizontal="center"/>
    </xf>
    <xf numFmtId="0" fontId="17" fillId="8" borderId="28" xfId="0" applyFont="1" applyFill="1" applyBorder="1" applyAlignment="1">
      <alignment horizontal="center"/>
    </xf>
    <xf numFmtId="0" fontId="17" fillId="8" borderId="22" xfId="0" applyFont="1" applyFill="1" applyBorder="1" applyAlignment="1">
      <alignment horizontal="center"/>
    </xf>
    <xf numFmtId="0" fontId="17" fillId="5" borderId="21" xfId="0" applyFont="1" applyFill="1" applyBorder="1" applyAlignment="1">
      <alignment horizontal="center"/>
    </xf>
    <xf numFmtId="0" fontId="17" fillId="5" borderId="35" xfId="0" applyFont="1" applyFill="1" applyBorder="1" applyAlignment="1">
      <alignment horizontal="center"/>
    </xf>
    <xf numFmtId="0" fontId="17" fillId="5" borderId="28" xfId="0" applyFont="1" applyFill="1" applyBorder="1" applyAlignment="1">
      <alignment horizontal="center"/>
    </xf>
    <xf numFmtId="0" fontId="17" fillId="5" borderId="22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left" vertical="center" wrapText="1"/>
    </xf>
    <xf numFmtId="0" fontId="2" fillId="3" borderId="49" xfId="0" applyFont="1" applyFill="1" applyBorder="1" applyAlignment="1">
      <alignment horizontal="center"/>
    </xf>
    <xf numFmtId="3" fontId="2" fillId="3" borderId="53" xfId="0" applyNumberFormat="1" applyFont="1" applyFill="1" applyBorder="1" applyAlignment="1">
      <alignment horizontal="right" vertical="center" wrapText="1"/>
    </xf>
    <xf numFmtId="3" fontId="2" fillId="3" borderId="30" xfId="0" applyNumberFormat="1" applyFont="1" applyFill="1" applyBorder="1" applyAlignment="1">
      <alignment horizontal="right" vertical="center" wrapText="1"/>
    </xf>
    <xf numFmtId="166" fontId="15" fillId="5" borderId="15" xfId="0" applyNumberFormat="1" applyFont="1" applyFill="1" applyBorder="1" applyAlignment="1">
      <alignment horizontal="right" vertical="center"/>
    </xf>
    <xf numFmtId="166" fontId="15" fillId="5" borderId="33" xfId="0" applyNumberFormat="1" applyFont="1" applyFill="1" applyBorder="1" applyAlignment="1">
      <alignment horizontal="right" vertical="center"/>
    </xf>
    <xf numFmtId="166" fontId="15" fillId="3" borderId="33" xfId="0" applyNumberFormat="1" applyFont="1" applyFill="1" applyBorder="1" applyAlignment="1">
      <alignment horizontal="right" vertical="center"/>
    </xf>
    <xf numFmtId="0" fontId="17" fillId="2" borderId="70" xfId="0" applyFont="1" applyFill="1" applyBorder="1" applyAlignment="1">
      <alignment horizontal="center"/>
    </xf>
    <xf numFmtId="166" fontId="15" fillId="3" borderId="15" xfId="0" applyNumberFormat="1" applyFont="1" applyFill="1" applyBorder="1" applyAlignment="1">
      <alignment horizontal="right" vertical="center"/>
    </xf>
    <xf numFmtId="166" fontId="15" fillId="3" borderId="2" xfId="0" applyNumberFormat="1" applyFont="1" applyFill="1" applyBorder="1" applyAlignment="1">
      <alignment horizontal="right" vertical="center"/>
    </xf>
    <xf numFmtId="166" fontId="15" fillId="5" borderId="2" xfId="0" applyNumberFormat="1" applyFont="1" applyFill="1" applyBorder="1" applyAlignment="1">
      <alignment vertical="center"/>
    </xf>
    <xf numFmtId="166" fontId="15" fillId="5" borderId="15" xfId="0" applyNumberFormat="1" applyFont="1" applyFill="1" applyBorder="1" applyAlignment="1">
      <alignment vertical="center"/>
    </xf>
    <xf numFmtId="4" fontId="16" fillId="0" borderId="7" xfId="0" applyNumberFormat="1" applyFont="1" applyBorder="1" applyAlignment="1">
      <alignment horizontal="right" vertical="center"/>
    </xf>
    <xf numFmtId="4" fontId="15" fillId="0" borderId="26" xfId="0" applyNumberFormat="1" applyFont="1" applyBorder="1" applyAlignment="1">
      <alignment vertical="center"/>
    </xf>
    <xf numFmtId="4" fontId="15" fillId="0" borderId="62" xfId="0" applyNumberFormat="1" applyFont="1" applyBorder="1" applyAlignment="1">
      <alignment vertical="center"/>
    </xf>
    <xf numFmtId="4" fontId="15" fillId="0" borderId="30" xfId="0" applyNumberFormat="1" applyFont="1" applyBorder="1" applyAlignment="1">
      <alignment vertical="center"/>
    </xf>
    <xf numFmtId="0" fontId="3" fillId="0" borderId="0" xfId="0" applyFont="1" applyAlignment="1">
      <alignment horizontal="center" wrapText="1"/>
    </xf>
    <xf numFmtId="0" fontId="16" fillId="3" borderId="42" xfId="0" applyFont="1" applyFill="1" applyBorder="1" applyAlignment="1">
      <alignment horizontal="center" vertical="center" wrapText="1"/>
    </xf>
    <xf numFmtId="3" fontId="4" fillId="0" borderId="0" xfId="0" applyNumberFormat="1" applyFont="1" applyBorder="1"/>
    <xf numFmtId="3" fontId="3" fillId="0" borderId="0" xfId="0" applyNumberFormat="1" applyFont="1" applyBorder="1"/>
    <xf numFmtId="164" fontId="24" fillId="0" borderId="0" xfId="1" applyFont="1"/>
    <xf numFmtId="3" fontId="4" fillId="0" borderId="54" xfId="0" applyNumberFormat="1" applyFont="1" applyBorder="1"/>
    <xf numFmtId="3" fontId="2" fillId="3" borderId="62" xfId="1" applyNumberFormat="1" applyFont="1" applyFill="1" applyBorder="1" applyAlignment="1"/>
    <xf numFmtId="3" fontId="4" fillId="0" borderId="52" xfId="0" applyNumberFormat="1" applyFont="1" applyBorder="1"/>
    <xf numFmtId="3" fontId="3" fillId="0" borderId="42" xfId="0" applyNumberFormat="1" applyFont="1" applyBorder="1"/>
    <xf numFmtId="3" fontId="4" fillId="0" borderId="42" xfId="0" applyNumberFormat="1" applyFont="1" applyBorder="1"/>
    <xf numFmtId="3" fontId="2" fillId="3" borderId="53" xfId="1" applyNumberFormat="1" applyFont="1" applyFill="1" applyBorder="1" applyAlignment="1"/>
    <xf numFmtId="164" fontId="3" fillId="0" borderId="0" xfId="1" applyFont="1"/>
    <xf numFmtId="0" fontId="17" fillId="0" borderId="39" xfId="0" applyFont="1" applyBorder="1"/>
    <xf numFmtId="0" fontId="17" fillId="0" borderId="37" xfId="0" applyFont="1" applyBorder="1"/>
    <xf numFmtId="3" fontId="17" fillId="0" borderId="37" xfId="0" applyNumberFormat="1" applyFont="1" applyBorder="1"/>
    <xf numFmtId="3" fontId="17" fillId="0" borderId="38" xfId="0" applyNumberFormat="1" applyFont="1" applyBorder="1"/>
    <xf numFmtId="0" fontId="13" fillId="5" borderId="47" xfId="0" applyFont="1" applyFill="1" applyBorder="1"/>
    <xf numFmtId="0" fontId="13" fillId="5" borderId="48" xfId="0" applyFont="1" applyFill="1" applyBorder="1"/>
    <xf numFmtId="0" fontId="13" fillId="0" borderId="0" xfId="0" applyFont="1" applyAlignment="1">
      <alignment horizontal="center"/>
    </xf>
    <xf numFmtId="0" fontId="14" fillId="5" borderId="51" xfId="0" applyFont="1" applyFill="1" applyBorder="1" applyAlignment="1">
      <alignment horizontal="left" indent="1"/>
    </xf>
    <xf numFmtId="3" fontId="3" fillId="5" borderId="47" xfId="0" applyNumberFormat="1" applyFont="1" applyFill="1" applyBorder="1" applyAlignment="1">
      <alignment horizontal="center" vertical="center" wrapText="1"/>
    </xf>
    <xf numFmtId="3" fontId="3" fillId="5" borderId="16" xfId="0" applyNumberFormat="1" applyFont="1" applyFill="1" applyBorder="1" applyAlignment="1">
      <alignment horizontal="center" vertical="center" wrapText="1"/>
    </xf>
    <xf numFmtId="0" fontId="3" fillId="5" borderId="59" xfId="0" applyFont="1" applyFill="1" applyBorder="1" applyAlignment="1">
      <alignment horizontal="left" vertical="center" wrapText="1" indent="1"/>
    </xf>
    <xf numFmtId="3" fontId="3" fillId="5" borderId="41" xfId="0" applyNumberFormat="1" applyFont="1" applyFill="1" applyBorder="1" applyAlignment="1">
      <alignment horizontal="center" vertical="center" wrapText="1"/>
    </xf>
    <xf numFmtId="3" fontId="3" fillId="5" borderId="11" xfId="0" applyNumberFormat="1" applyFont="1" applyFill="1" applyBorder="1" applyAlignment="1">
      <alignment horizontal="center" vertical="center" wrapText="1"/>
    </xf>
    <xf numFmtId="0" fontId="3" fillId="5" borderId="51" xfId="0" applyFont="1" applyFill="1" applyBorder="1" applyAlignment="1">
      <alignment horizontal="left" vertical="center" wrapText="1" indent="1"/>
    </xf>
    <xf numFmtId="3" fontId="23" fillId="5" borderId="65" xfId="0" applyNumberFormat="1" applyFont="1" applyFill="1" applyBorder="1"/>
    <xf numFmtId="3" fontId="23" fillId="5" borderId="3" xfId="0" applyNumberFormat="1" applyFont="1" applyFill="1" applyBorder="1"/>
    <xf numFmtId="0" fontId="23" fillId="5" borderId="67" xfId="0" applyFont="1" applyFill="1" applyBorder="1"/>
    <xf numFmtId="0" fontId="23" fillId="5" borderId="65" xfId="0" applyFont="1" applyFill="1" applyBorder="1"/>
    <xf numFmtId="0" fontId="23" fillId="5" borderId="3" xfId="0" applyFont="1" applyFill="1" applyBorder="1"/>
    <xf numFmtId="3" fontId="23" fillId="5" borderId="24" xfId="0" applyNumberFormat="1" applyFont="1" applyFill="1" applyBorder="1"/>
    <xf numFmtId="3" fontId="23" fillId="5" borderId="40" xfId="0" applyNumberFormat="1" applyFont="1" applyFill="1" applyBorder="1"/>
    <xf numFmtId="0" fontId="23" fillId="5" borderId="29" xfId="0" applyFont="1" applyFill="1" applyBorder="1"/>
    <xf numFmtId="0" fontId="23" fillId="5" borderId="24" xfId="0" applyFont="1" applyFill="1" applyBorder="1"/>
    <xf numFmtId="0" fontId="23" fillId="5" borderId="40" xfId="0" applyFont="1" applyFill="1" applyBorder="1"/>
    <xf numFmtId="0" fontId="2" fillId="3" borderId="44" xfId="0" applyFont="1" applyFill="1" applyBorder="1" applyAlignment="1">
      <alignment horizontal="left" vertical="center"/>
    </xf>
    <xf numFmtId="0" fontId="2" fillId="3" borderId="35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3" borderId="34" xfId="0" applyFont="1" applyFill="1" applyBorder="1" applyAlignment="1">
      <alignment horizontal="justify" vertical="center" wrapText="1"/>
    </xf>
    <xf numFmtId="3" fontId="23" fillId="3" borderId="24" xfId="0" applyNumberFormat="1" applyFont="1" applyFill="1" applyBorder="1"/>
    <xf numFmtId="3" fontId="23" fillId="3" borderId="40" xfId="0" applyNumberFormat="1" applyFont="1" applyFill="1" applyBorder="1"/>
    <xf numFmtId="0" fontId="23" fillId="3" borderId="29" xfId="0" applyFont="1" applyFill="1" applyBorder="1"/>
    <xf numFmtId="0" fontId="23" fillId="3" borderId="24" xfId="0" applyFont="1" applyFill="1" applyBorder="1"/>
    <xf numFmtId="0" fontId="23" fillId="3" borderId="40" xfId="0" applyFont="1" applyFill="1" applyBorder="1"/>
    <xf numFmtId="0" fontId="2" fillId="3" borderId="69" xfId="0" applyFont="1" applyFill="1" applyBorder="1" applyAlignment="1">
      <alignment horizontal="justify" vertical="center" wrapText="1"/>
    </xf>
    <xf numFmtId="0" fontId="2" fillId="3" borderId="25" xfId="0" applyFont="1" applyFill="1" applyBorder="1" applyAlignment="1">
      <alignment horizontal="right" vertical="center" wrapText="1" indent="1"/>
    </xf>
    <xf numFmtId="0" fontId="2" fillId="3" borderId="5" xfId="0" applyFont="1" applyFill="1" applyBorder="1" applyAlignment="1">
      <alignment horizontal="right" vertical="center" wrapText="1" indent="1"/>
    </xf>
    <xf numFmtId="0" fontId="2" fillId="3" borderId="6" xfId="0" applyFont="1" applyFill="1" applyBorder="1" applyAlignment="1">
      <alignment horizontal="right" vertical="center" wrapText="1" indent="1"/>
    </xf>
    <xf numFmtId="0" fontId="3" fillId="3" borderId="50" xfId="0" applyFont="1" applyFill="1" applyBorder="1" applyAlignment="1">
      <alignment horizontal="justify" vertical="center" wrapText="1"/>
    </xf>
    <xf numFmtId="3" fontId="3" fillId="3" borderId="27" xfId="2" applyNumberFormat="1" applyFont="1" applyFill="1" applyBorder="1" applyAlignment="1">
      <alignment horizontal="right" vertical="center" wrapText="1" indent="1"/>
    </xf>
    <xf numFmtId="3" fontId="3" fillId="3" borderId="32" xfId="2" applyNumberFormat="1" applyFont="1" applyFill="1" applyBorder="1" applyAlignment="1">
      <alignment horizontal="right" vertical="center" wrapText="1" indent="1"/>
    </xf>
    <xf numFmtId="3" fontId="3" fillId="3" borderId="14" xfId="0" applyNumberFormat="1" applyFont="1" applyFill="1" applyBorder="1" applyAlignment="1">
      <alignment horizontal="right" vertical="center" wrapText="1" indent="1"/>
    </xf>
    <xf numFmtId="3" fontId="3" fillId="3" borderId="27" xfId="0" applyNumberFormat="1" applyFont="1" applyFill="1" applyBorder="1" applyAlignment="1">
      <alignment horizontal="right" vertical="center" wrapText="1" indent="1"/>
    </xf>
    <xf numFmtId="3" fontId="3" fillId="3" borderId="32" xfId="0" applyNumberFormat="1" applyFont="1" applyFill="1" applyBorder="1" applyAlignment="1">
      <alignment horizontal="right" vertical="center" wrapText="1" indent="1"/>
    </xf>
    <xf numFmtId="0" fontId="2" fillId="3" borderId="53" xfId="0" applyFont="1" applyFill="1" applyBorder="1" applyAlignment="1">
      <alignment horizontal="justify" vertical="center" wrapText="1"/>
    </xf>
    <xf numFmtId="3" fontId="2" fillId="3" borderId="31" xfId="0" applyNumberFormat="1" applyFont="1" applyFill="1" applyBorder="1" applyAlignment="1">
      <alignment horizontal="right" vertical="center" wrapText="1" indent="1"/>
    </xf>
    <xf numFmtId="3" fontId="2" fillId="3" borderId="29" xfId="0" applyNumberFormat="1" applyFont="1" applyFill="1" applyBorder="1" applyAlignment="1">
      <alignment horizontal="right" vertical="center" wrapText="1" indent="1"/>
    </xf>
    <xf numFmtId="3" fontId="2" fillId="3" borderId="9" xfId="0" applyNumberFormat="1" applyFont="1" applyFill="1" applyBorder="1" applyAlignment="1">
      <alignment horizontal="right" vertical="center" wrapText="1" indent="1"/>
    </xf>
    <xf numFmtId="165" fontId="3" fillId="5" borderId="33" xfId="1" applyNumberFormat="1" applyFont="1" applyFill="1" applyBorder="1" applyAlignment="1">
      <alignment horizontal="center" vertical="center" wrapText="1"/>
    </xf>
    <xf numFmtId="168" fontId="15" fillId="5" borderId="15" xfId="0" applyNumberFormat="1" applyFont="1" applyFill="1" applyBorder="1" applyAlignment="1">
      <alignment horizontal="right" vertical="center"/>
    </xf>
    <xf numFmtId="168" fontId="15" fillId="5" borderId="2" xfId="0" applyNumberFormat="1" applyFont="1" applyFill="1" applyBorder="1" applyAlignment="1">
      <alignment horizontal="right" vertical="center"/>
    </xf>
    <xf numFmtId="168" fontId="15" fillId="5" borderId="2" xfId="0" applyNumberFormat="1" applyFont="1" applyFill="1" applyBorder="1" applyAlignment="1">
      <alignment vertical="center"/>
    </xf>
    <xf numFmtId="168" fontId="15" fillId="5" borderId="0" xfId="0" applyNumberFormat="1" applyFont="1" applyFill="1" applyBorder="1" applyAlignment="1">
      <alignment vertical="center"/>
    </xf>
    <xf numFmtId="168" fontId="15" fillId="5" borderId="15" xfId="0" applyNumberFormat="1" applyFont="1" applyFill="1" applyBorder="1" applyAlignment="1">
      <alignment vertical="center"/>
    </xf>
    <xf numFmtId="167" fontId="15" fillId="5" borderId="2" xfId="0" applyNumberFormat="1" applyFont="1" applyFill="1" applyBorder="1" applyAlignment="1">
      <alignment horizontal="right" vertical="center"/>
    </xf>
    <xf numFmtId="167" fontId="15" fillId="5" borderId="0" xfId="0" applyNumberFormat="1" applyFont="1" applyFill="1" applyBorder="1" applyAlignment="1">
      <alignment horizontal="right" vertical="center"/>
    </xf>
    <xf numFmtId="167" fontId="15" fillId="5" borderId="15" xfId="0" applyNumberFormat="1" applyFont="1" applyFill="1" applyBorder="1" applyAlignment="1">
      <alignment horizontal="right" vertical="center"/>
    </xf>
    <xf numFmtId="168" fontId="15" fillId="5" borderId="33" xfId="0" applyNumberFormat="1" applyFont="1" applyFill="1" applyBorder="1" applyAlignment="1">
      <alignment horizontal="right" vertical="center"/>
    </xf>
    <xf numFmtId="3" fontId="15" fillId="3" borderId="15" xfId="1" applyNumberFormat="1" applyFont="1" applyFill="1" applyBorder="1" applyAlignment="1">
      <alignment horizontal="center" vertical="center"/>
    </xf>
    <xf numFmtId="3" fontId="15" fillId="3" borderId="16" xfId="1" applyNumberFormat="1" applyFont="1" applyFill="1" applyBorder="1" applyAlignment="1">
      <alignment horizontal="center" vertical="center"/>
    </xf>
    <xf numFmtId="3" fontId="15" fillId="3" borderId="47" xfId="1" applyNumberFormat="1" applyFont="1" applyFill="1" applyBorder="1" applyAlignment="1">
      <alignment horizontal="center" vertical="center"/>
    </xf>
    <xf numFmtId="3" fontId="15" fillId="3" borderId="17" xfId="1" applyNumberFormat="1" applyFont="1" applyFill="1" applyBorder="1" applyAlignment="1">
      <alignment horizontal="center" vertical="center"/>
    </xf>
    <xf numFmtId="3" fontId="15" fillId="3" borderId="15" xfId="2" applyNumberFormat="1" applyFont="1" applyFill="1" applyBorder="1" applyAlignment="1">
      <alignment horizontal="center" vertical="center"/>
    </xf>
    <xf numFmtId="3" fontId="15" fillId="3" borderId="16" xfId="2" applyNumberFormat="1" applyFont="1" applyFill="1" applyBorder="1" applyAlignment="1">
      <alignment horizontal="center" vertical="center"/>
    </xf>
    <xf numFmtId="3" fontId="15" fillId="3" borderId="47" xfId="2" applyNumberFormat="1" applyFont="1" applyFill="1" applyBorder="1" applyAlignment="1">
      <alignment horizontal="center" vertical="center"/>
    </xf>
    <xf numFmtId="3" fontId="15" fillId="3" borderId="17" xfId="2" applyNumberFormat="1" applyFont="1" applyFill="1" applyBorder="1" applyAlignment="1">
      <alignment horizontal="center" vertical="center"/>
    </xf>
    <xf numFmtId="3" fontId="15" fillId="3" borderId="42" xfId="1" applyNumberFormat="1" applyFont="1" applyFill="1" applyBorder="1" applyAlignment="1">
      <alignment horizontal="center" vertical="center"/>
    </xf>
    <xf numFmtId="3" fontId="17" fillId="5" borderId="15" xfId="1" applyNumberFormat="1" applyFont="1" applyFill="1" applyBorder="1" applyAlignment="1">
      <alignment horizontal="center" vertical="center"/>
    </xf>
    <xf numFmtId="3" fontId="17" fillId="5" borderId="16" xfId="1" applyNumberFormat="1" applyFont="1" applyFill="1" applyBorder="1" applyAlignment="1">
      <alignment horizontal="center" vertical="center"/>
    </xf>
    <xf numFmtId="3" fontId="17" fillId="5" borderId="13" xfId="1" applyNumberFormat="1" applyFont="1" applyFill="1" applyBorder="1" applyAlignment="1">
      <alignment horizontal="center" vertical="center"/>
    </xf>
    <xf numFmtId="3" fontId="2" fillId="5" borderId="13" xfId="1" applyNumberFormat="1" applyFont="1" applyFill="1" applyBorder="1" applyAlignment="1">
      <alignment horizontal="center" vertical="center"/>
    </xf>
    <xf numFmtId="3" fontId="2" fillId="5" borderId="1" xfId="1" applyNumberFormat="1" applyFont="1" applyFill="1" applyBorder="1" applyAlignment="1">
      <alignment horizontal="center" vertical="center"/>
    </xf>
    <xf numFmtId="3" fontId="2" fillId="5" borderId="39" xfId="1" applyNumberFormat="1" applyFont="1" applyFill="1" applyBorder="1" applyAlignment="1">
      <alignment horizontal="center" vertical="center"/>
    </xf>
    <xf numFmtId="3" fontId="2" fillId="5" borderId="14" xfId="1" applyNumberFormat="1" applyFont="1" applyFill="1" applyBorder="1" applyAlignment="1">
      <alignment horizontal="center" vertical="center"/>
    </xf>
    <xf numFmtId="3" fontId="15" fillId="3" borderId="18" xfId="1" applyNumberFormat="1" applyFont="1" applyFill="1" applyBorder="1" applyAlignment="1">
      <alignment horizontal="center" vertical="center"/>
    </xf>
    <xf numFmtId="3" fontId="15" fillId="3" borderId="19" xfId="1" applyNumberFormat="1" applyFont="1" applyFill="1" applyBorder="1" applyAlignment="1">
      <alignment horizontal="center" vertical="center"/>
    </xf>
    <xf numFmtId="3" fontId="15" fillId="3" borderId="48" xfId="1" applyNumberFormat="1" applyFont="1" applyFill="1" applyBorder="1" applyAlignment="1">
      <alignment horizontal="center" vertical="center"/>
    </xf>
    <xf numFmtId="3" fontId="15" fillId="3" borderId="20" xfId="1" applyNumberFormat="1" applyFont="1" applyFill="1" applyBorder="1" applyAlignment="1">
      <alignment horizontal="center" vertical="center"/>
    </xf>
    <xf numFmtId="3" fontId="23" fillId="3" borderId="10" xfId="0" applyNumberFormat="1" applyFont="1" applyFill="1" applyBorder="1"/>
    <xf numFmtId="3" fontId="23" fillId="3" borderId="11" xfId="0" applyNumberFormat="1" applyFont="1" applyFill="1" applyBorder="1"/>
    <xf numFmtId="0" fontId="23" fillId="3" borderId="32" xfId="0" applyFont="1" applyFill="1" applyBorder="1"/>
    <xf numFmtId="0" fontId="23" fillId="3" borderId="10" xfId="0" applyFont="1" applyFill="1" applyBorder="1"/>
    <xf numFmtId="0" fontId="23" fillId="3" borderId="11" xfId="0" applyFont="1" applyFill="1" applyBorder="1"/>
    <xf numFmtId="0" fontId="2" fillId="3" borderId="60" xfId="0" applyFont="1" applyFill="1" applyBorder="1" applyAlignment="1">
      <alignment horizontal="justify" vertical="center" wrapText="1"/>
    </xf>
    <xf numFmtId="3" fontId="23" fillId="3" borderId="65" xfId="0" applyNumberFormat="1" applyFont="1" applyFill="1" applyBorder="1"/>
    <xf numFmtId="3" fontId="23" fillId="3" borderId="3" xfId="0" applyNumberFormat="1" applyFont="1" applyFill="1" applyBorder="1"/>
    <xf numFmtId="3" fontId="23" fillId="3" borderId="15" xfId="0" applyNumberFormat="1" applyFont="1" applyFill="1" applyBorder="1"/>
    <xf numFmtId="3" fontId="23" fillId="3" borderId="16" xfId="0" applyNumberFormat="1" applyFont="1" applyFill="1" applyBorder="1"/>
    <xf numFmtId="0" fontId="23" fillId="3" borderId="33" xfId="0" applyFont="1" applyFill="1" applyBorder="1"/>
    <xf numFmtId="0" fontId="23" fillId="3" borderId="15" xfId="0" applyFont="1" applyFill="1" applyBorder="1"/>
    <xf numFmtId="0" fontId="23" fillId="3" borderId="16" xfId="0" applyFont="1" applyFill="1" applyBorder="1"/>
    <xf numFmtId="0" fontId="0" fillId="5" borderId="15" xfId="0" applyFill="1" applyBorder="1" applyAlignment="1">
      <alignment horizontal="left"/>
    </xf>
    <xf numFmtId="0" fontId="0" fillId="3" borderId="65" xfId="0" applyFill="1" applyBorder="1" applyAlignment="1">
      <alignment horizontal="left"/>
    </xf>
    <xf numFmtId="0" fontId="0" fillId="3" borderId="15" xfId="0" applyFill="1" applyBorder="1" applyAlignment="1">
      <alignment horizontal="left"/>
    </xf>
    <xf numFmtId="0" fontId="0" fillId="3" borderId="10" xfId="0" applyFill="1" applyBorder="1" applyAlignment="1">
      <alignment horizontal="left"/>
    </xf>
    <xf numFmtId="3" fontId="23" fillId="3" borderId="67" xfId="0" applyNumberFormat="1" applyFont="1" applyFill="1" applyBorder="1"/>
    <xf numFmtId="10" fontId="3" fillId="5" borderId="0" xfId="2" applyNumberFormat="1" applyFont="1" applyFill="1"/>
    <xf numFmtId="0" fontId="9" fillId="3" borderId="34" xfId="0" applyFont="1" applyFill="1" applyBorder="1" applyAlignment="1">
      <alignment horizontal="left" vertical="center"/>
    </xf>
    <xf numFmtId="0" fontId="9" fillId="3" borderId="53" xfId="0" applyFont="1" applyFill="1" applyBorder="1" applyAlignment="1">
      <alignment horizontal="center" vertical="center"/>
    </xf>
    <xf numFmtId="3" fontId="27" fillId="3" borderId="34" xfId="1" applyNumberFormat="1" applyFont="1" applyFill="1" applyBorder="1" applyAlignment="1">
      <alignment horizontal="center" vertical="center"/>
    </xf>
    <xf numFmtId="3" fontId="27" fillId="3" borderId="53" xfId="1" applyNumberFormat="1" applyFont="1" applyFill="1" applyBorder="1" applyAlignment="1">
      <alignment horizontal="center" vertical="center"/>
    </xf>
    <xf numFmtId="0" fontId="2" fillId="3" borderId="42" xfId="0" applyFont="1" applyFill="1" applyBorder="1" applyAlignment="1">
      <alignment horizontal="center" vertical="center" wrapText="1"/>
    </xf>
    <xf numFmtId="0" fontId="17" fillId="3" borderId="15" xfId="0" applyFont="1" applyFill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0" fontId="17" fillId="3" borderId="0" xfId="0" applyFont="1" applyFill="1" applyBorder="1" applyAlignment="1">
      <alignment horizontal="center"/>
    </xf>
    <xf numFmtId="0" fontId="17" fillId="3" borderId="33" xfId="0" applyFont="1" applyFill="1" applyBorder="1" applyAlignment="1">
      <alignment horizontal="center"/>
    </xf>
    <xf numFmtId="0" fontId="17" fillId="3" borderId="2" xfId="0" applyFont="1" applyFill="1" applyBorder="1" applyAlignment="1">
      <alignment horizontal="center" vertical="center"/>
    </xf>
    <xf numFmtId="0" fontId="17" fillId="3" borderId="33" xfId="0" applyFont="1" applyFill="1" applyBorder="1" applyAlignment="1">
      <alignment horizontal="center" vertical="center"/>
    </xf>
    <xf numFmtId="0" fontId="21" fillId="3" borderId="51" xfId="0" applyFont="1" applyFill="1" applyBorder="1" applyAlignment="1">
      <alignment horizontal="left" vertical="center" wrapText="1"/>
    </xf>
    <xf numFmtId="166" fontId="15" fillId="3" borderId="2" xfId="0" applyNumberFormat="1" applyFont="1" applyFill="1" applyBorder="1" applyAlignment="1">
      <alignment vertical="center"/>
    </xf>
    <xf numFmtId="166" fontId="15" fillId="3" borderId="0" xfId="0" applyNumberFormat="1" applyFont="1" applyFill="1" applyBorder="1" applyAlignment="1">
      <alignment vertical="center"/>
    </xf>
    <xf numFmtId="166" fontId="15" fillId="3" borderId="15" xfId="0" applyNumberFormat="1" applyFont="1" applyFill="1" applyBorder="1" applyAlignment="1">
      <alignment vertical="center"/>
    </xf>
    <xf numFmtId="168" fontId="15" fillId="3" borderId="15" xfId="0" applyNumberFormat="1" applyFont="1" applyFill="1" applyBorder="1" applyAlignment="1">
      <alignment horizontal="right" vertical="center"/>
    </xf>
    <xf numFmtId="9" fontId="16" fillId="3" borderId="15" xfId="2" applyFont="1" applyFill="1" applyBorder="1" applyAlignment="1">
      <alignment horizontal="right" vertical="center"/>
    </xf>
    <xf numFmtId="9" fontId="15" fillId="3" borderId="2" xfId="2" applyFont="1" applyFill="1" applyBorder="1" applyAlignment="1">
      <alignment vertical="center"/>
    </xf>
    <xf numFmtId="9" fontId="15" fillId="3" borderId="0" xfId="2" applyFont="1" applyFill="1" applyBorder="1" applyAlignment="1">
      <alignment vertical="center"/>
    </xf>
    <xf numFmtId="9" fontId="15" fillId="3" borderId="33" xfId="2" applyFont="1" applyFill="1" applyBorder="1" applyAlignment="1">
      <alignment vertical="center"/>
    </xf>
    <xf numFmtId="0" fontId="16" fillId="3" borderId="51" xfId="0" applyFont="1" applyFill="1" applyBorder="1" applyAlignment="1">
      <alignment vertical="center"/>
    </xf>
    <xf numFmtId="0" fontId="8" fillId="3" borderId="51" xfId="0" applyFont="1" applyFill="1" applyBorder="1" applyAlignment="1">
      <alignment vertical="center"/>
    </xf>
    <xf numFmtId="0" fontId="8" fillId="3" borderId="34" xfId="0" applyFont="1" applyFill="1" applyBorder="1" applyAlignment="1">
      <alignment vertical="center" wrapText="1"/>
    </xf>
    <xf numFmtId="0" fontId="8" fillId="3" borderId="53" xfId="0" applyFont="1" applyFill="1" applyBorder="1" applyAlignment="1">
      <alignment horizontal="center" vertical="center" wrapText="1"/>
    </xf>
    <xf numFmtId="172" fontId="15" fillId="3" borderId="2" xfId="0" applyNumberFormat="1" applyFont="1" applyFill="1" applyBorder="1" applyAlignment="1">
      <alignment horizontal="right" vertical="center"/>
    </xf>
    <xf numFmtId="172" fontId="15" fillId="3" borderId="33" xfId="0" applyNumberFormat="1" applyFont="1" applyFill="1" applyBorder="1" applyAlignment="1">
      <alignment horizontal="right" vertical="center"/>
    </xf>
    <xf numFmtId="9" fontId="15" fillId="3" borderId="2" xfId="2" applyFont="1" applyFill="1" applyBorder="1" applyAlignment="1">
      <alignment horizontal="right" vertical="center"/>
    </xf>
    <xf numFmtId="9" fontId="15" fillId="3" borderId="33" xfId="2" applyFont="1" applyFill="1" applyBorder="1" applyAlignment="1">
      <alignment horizontal="right" vertical="center"/>
    </xf>
    <xf numFmtId="0" fontId="8" fillId="3" borderId="34" xfId="0" applyFont="1" applyFill="1" applyBorder="1" applyAlignment="1">
      <alignment vertical="center"/>
    </xf>
    <xf numFmtId="4" fontId="17" fillId="3" borderId="26" xfId="0" applyNumberFormat="1" applyFont="1" applyFill="1" applyBorder="1" applyAlignment="1">
      <alignment horizontal="right" vertical="center"/>
    </xf>
    <xf numFmtId="4" fontId="17" fillId="3" borderId="30" xfId="0" applyNumberFormat="1" applyFont="1" applyFill="1" applyBorder="1" applyAlignment="1">
      <alignment horizontal="right" vertical="center"/>
    </xf>
    <xf numFmtId="0" fontId="3" fillId="3" borderId="15" xfId="0" applyFont="1" applyFill="1" applyBorder="1" applyAlignment="1">
      <alignment horizontal="left" vertical="center" wrapText="1" indent="1"/>
    </xf>
    <xf numFmtId="3" fontId="3" fillId="3" borderId="15" xfId="0" applyNumberFormat="1" applyFont="1" applyFill="1" applyBorder="1" applyAlignment="1">
      <alignment horizontal="center" vertical="center" wrapText="1"/>
    </xf>
    <xf numFmtId="3" fontId="3" fillId="3" borderId="16" xfId="0" applyNumberFormat="1" applyFont="1" applyFill="1" applyBorder="1" applyAlignment="1">
      <alignment horizontal="center" vertical="center" wrapText="1"/>
    </xf>
    <xf numFmtId="3" fontId="3" fillId="3" borderId="47" xfId="0" applyNumberFormat="1" applyFont="1" applyFill="1" applyBorder="1" applyAlignment="1">
      <alignment horizontal="center" vertical="center" wrapText="1"/>
    </xf>
    <xf numFmtId="3" fontId="3" fillId="3" borderId="17" xfId="0" applyNumberFormat="1" applyFont="1" applyFill="1" applyBorder="1" applyAlignment="1">
      <alignment horizontal="center" vertical="center" wrapText="1"/>
    </xf>
    <xf numFmtId="0" fontId="9" fillId="0" borderId="15" xfId="0" applyFont="1" applyBorder="1" applyAlignment="1">
      <alignment horizontal="left" vertical="center" wrapText="1"/>
    </xf>
    <xf numFmtId="0" fontId="9" fillId="0" borderId="17" xfId="0" applyFont="1" applyBorder="1" applyAlignment="1">
      <alignment horizontal="center"/>
    </xf>
    <xf numFmtId="0" fontId="3" fillId="0" borderId="0" xfId="0" applyFont="1" applyAlignment="1">
      <alignment wrapText="1"/>
    </xf>
    <xf numFmtId="0" fontId="2" fillId="3" borderId="75" xfId="0" applyFont="1" applyFill="1" applyBorder="1" applyAlignment="1">
      <alignment horizontal="left" vertical="center" wrapText="1"/>
    </xf>
    <xf numFmtId="0" fontId="6" fillId="0" borderId="0" xfId="0" applyFont="1" applyAlignment="1">
      <alignment vertical="center"/>
    </xf>
    <xf numFmtId="0" fontId="3" fillId="3" borderId="51" xfId="0" applyFont="1" applyFill="1" applyBorder="1" applyAlignment="1">
      <alignment horizontal="left" vertical="center" indent="1"/>
    </xf>
    <xf numFmtId="0" fontId="3" fillId="3" borderId="18" xfId="0" applyFont="1" applyFill="1" applyBorder="1" applyAlignment="1">
      <alignment horizontal="left" vertical="center" wrapText="1" indent="1"/>
    </xf>
    <xf numFmtId="3" fontId="3" fillId="3" borderId="18" xfId="1" applyNumberFormat="1" applyFont="1" applyFill="1" applyBorder="1" applyAlignment="1">
      <alignment horizontal="center" vertical="center"/>
    </xf>
    <xf numFmtId="3" fontId="3" fillId="3" borderId="19" xfId="1" applyNumberFormat="1" applyFont="1" applyFill="1" applyBorder="1" applyAlignment="1">
      <alignment horizontal="center" vertical="center"/>
    </xf>
    <xf numFmtId="3" fontId="3" fillId="3" borderId="48" xfId="1" applyNumberFormat="1" applyFont="1" applyFill="1" applyBorder="1" applyAlignment="1">
      <alignment horizontal="center" vertical="center"/>
    </xf>
    <xf numFmtId="3" fontId="3" fillId="3" borderId="20" xfId="1" applyNumberFormat="1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left" vertical="center" wrapText="1" indent="1"/>
    </xf>
    <xf numFmtId="0" fontId="3" fillId="3" borderId="41" xfId="0" applyFont="1" applyFill="1" applyBorder="1" applyAlignment="1">
      <alignment horizontal="center" vertical="center"/>
    </xf>
    <xf numFmtId="3" fontId="3" fillId="3" borderId="10" xfId="1" applyNumberFormat="1" applyFont="1" applyFill="1" applyBorder="1" applyAlignment="1">
      <alignment horizontal="center" vertical="center"/>
    </xf>
    <xf numFmtId="3" fontId="3" fillId="3" borderId="11" xfId="1" applyNumberFormat="1" applyFont="1" applyFill="1" applyBorder="1" applyAlignment="1">
      <alignment horizontal="center" vertical="center"/>
    </xf>
    <xf numFmtId="3" fontId="3" fillId="3" borderId="41" xfId="1" applyNumberFormat="1" applyFont="1" applyFill="1" applyBorder="1" applyAlignment="1">
      <alignment horizontal="center" vertical="center"/>
    </xf>
    <xf numFmtId="3" fontId="3" fillId="3" borderId="12" xfId="1" applyNumberFormat="1" applyFont="1" applyFill="1" applyBorder="1" applyAlignment="1">
      <alignment horizontal="center" vertical="center"/>
    </xf>
    <xf numFmtId="3" fontId="15" fillId="3" borderId="64" xfId="1" applyNumberFormat="1" applyFont="1" applyFill="1" applyBorder="1" applyAlignment="1">
      <alignment horizontal="center"/>
    </xf>
    <xf numFmtId="0" fontId="3" fillId="3" borderId="59" xfId="0" applyFont="1" applyFill="1" applyBorder="1" applyAlignment="1">
      <alignment horizontal="left" vertical="center" indent="1"/>
    </xf>
    <xf numFmtId="0" fontId="3" fillId="3" borderId="64" xfId="0" applyFont="1" applyFill="1" applyBorder="1" applyAlignment="1">
      <alignment horizontal="center"/>
    </xf>
    <xf numFmtId="3" fontId="15" fillId="3" borderId="59" xfId="1" applyNumberFormat="1" applyFont="1" applyFill="1" applyBorder="1" applyAlignment="1">
      <alignment horizontal="center"/>
    </xf>
    <xf numFmtId="0" fontId="3" fillId="3" borderId="63" xfId="0" applyFont="1" applyFill="1" applyBorder="1" applyAlignment="1">
      <alignment horizontal="left" vertical="center" indent="1"/>
    </xf>
    <xf numFmtId="9" fontId="15" fillId="5" borderId="0" xfId="2" applyFont="1" applyFill="1" applyAlignment="1">
      <alignment vertical="center"/>
    </xf>
    <xf numFmtId="0" fontId="20" fillId="0" borderId="0" xfId="0" applyFont="1" applyAlignment="1">
      <alignment vertical="center"/>
    </xf>
    <xf numFmtId="3" fontId="22" fillId="3" borderId="1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wrapText="1"/>
    </xf>
    <xf numFmtId="0" fontId="13" fillId="0" borderId="0" xfId="0" applyFont="1" applyFill="1" applyBorder="1"/>
    <xf numFmtId="0" fontId="13" fillId="0" borderId="2" xfId="0" applyFont="1" applyFill="1" applyBorder="1"/>
    <xf numFmtId="1" fontId="13" fillId="0" borderId="43" xfId="0" applyNumberFormat="1" applyFont="1" applyFill="1" applyBorder="1"/>
    <xf numFmtId="1" fontId="13" fillId="0" borderId="27" xfId="0" applyNumberFormat="1" applyFont="1" applyFill="1" applyBorder="1"/>
    <xf numFmtId="1" fontId="13" fillId="0" borderId="2" xfId="0" applyNumberFormat="1" applyFont="1" applyFill="1" applyBorder="1"/>
    <xf numFmtId="0" fontId="2" fillId="3" borderId="55" xfId="0" applyFont="1" applyFill="1" applyBorder="1" applyAlignment="1">
      <alignment horizontal="left" vertical="center"/>
    </xf>
    <xf numFmtId="10" fontId="16" fillId="3" borderId="15" xfId="2" applyNumberFormat="1" applyFont="1" applyFill="1" applyBorder="1" applyAlignment="1">
      <alignment horizontal="right" vertical="center"/>
    </xf>
    <xf numFmtId="0" fontId="0" fillId="9" borderId="0" xfId="0" applyFill="1"/>
    <xf numFmtId="0" fontId="6" fillId="9" borderId="0" xfId="0" applyFont="1" applyFill="1"/>
    <xf numFmtId="0" fontId="0" fillId="9" borderId="1" xfId="0" applyFill="1" applyBorder="1"/>
    <xf numFmtId="0" fontId="3" fillId="9" borderId="1" xfId="0" applyFont="1" applyFill="1" applyBorder="1" applyAlignment="1">
      <alignment horizontal="center" wrapText="1"/>
    </xf>
    <xf numFmtId="0" fontId="0" fillId="9" borderId="1" xfId="0" applyFill="1" applyBorder="1" applyAlignment="1">
      <alignment horizontal="center" wrapText="1"/>
    </xf>
    <xf numFmtId="0" fontId="0" fillId="9" borderId="1" xfId="0" applyFill="1" applyBorder="1" applyAlignment="1">
      <alignment horizontal="center"/>
    </xf>
    <xf numFmtId="0" fontId="0" fillId="9" borderId="1" xfId="0" applyFill="1" applyBorder="1" applyAlignment="1">
      <alignment horizontal="center" vertical="center"/>
    </xf>
    <xf numFmtId="0" fontId="3" fillId="9" borderId="0" xfId="0" applyFont="1" applyFill="1" applyAlignment="1">
      <alignment horizontal="left" indent="1"/>
    </xf>
    <xf numFmtId="0" fontId="3" fillId="9" borderId="0" xfId="0" applyFont="1" applyFill="1" applyAlignment="1">
      <alignment horizontal="center" wrapText="1"/>
    </xf>
    <xf numFmtId="0" fontId="25" fillId="9" borderId="0" xfId="0" applyFont="1" applyFill="1"/>
    <xf numFmtId="0" fontId="14" fillId="9" borderId="0" xfId="0" applyFont="1" applyFill="1" applyAlignment="1">
      <alignment horizontal="left" indent="1"/>
    </xf>
    <xf numFmtId="0" fontId="13" fillId="9" borderId="0" xfId="0" applyFont="1" applyFill="1" applyAlignment="1">
      <alignment wrapText="1"/>
    </xf>
    <xf numFmtId="0" fontId="13" fillId="9" borderId="0" xfId="0" applyFont="1" applyFill="1"/>
    <xf numFmtId="0" fontId="3" fillId="9" borderId="0" xfId="0" applyFont="1" applyFill="1"/>
    <xf numFmtId="0" fontId="19" fillId="0" borderId="1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center" vertical="center" wrapText="1"/>
    </xf>
    <xf numFmtId="0" fontId="17" fillId="8" borderId="67" xfId="0" applyFont="1" applyFill="1" applyBorder="1" applyAlignment="1">
      <alignment horizontal="center" vertical="center"/>
    </xf>
    <xf numFmtId="0" fontId="17" fillId="8" borderId="29" xfId="0" applyFont="1" applyFill="1" applyBorder="1" applyAlignment="1">
      <alignment horizontal="center" vertical="center"/>
    </xf>
    <xf numFmtId="0" fontId="2" fillId="8" borderId="71" xfId="0" applyFont="1" applyFill="1" applyBorder="1" applyAlignment="1">
      <alignment horizontal="center" vertical="center"/>
    </xf>
    <xf numFmtId="0" fontId="2" fillId="8" borderId="60" xfId="0" applyFont="1" applyFill="1" applyBorder="1" applyAlignment="1">
      <alignment horizontal="center" vertical="center"/>
    </xf>
    <xf numFmtId="0" fontId="2" fillId="8" borderId="72" xfId="0" applyFont="1" applyFill="1" applyBorder="1" applyAlignment="1">
      <alignment horizontal="center" vertical="center"/>
    </xf>
    <xf numFmtId="0" fontId="2" fillId="8" borderId="73" xfId="0" applyFont="1" applyFill="1" applyBorder="1" applyAlignment="1">
      <alignment horizontal="center" vertical="center"/>
    </xf>
    <xf numFmtId="0" fontId="26" fillId="8" borderId="70" xfId="0" applyFont="1" applyFill="1" applyBorder="1" applyAlignment="1">
      <alignment horizontal="center"/>
    </xf>
    <xf numFmtId="0" fontId="26" fillId="8" borderId="28" xfId="0" applyFont="1" applyFill="1" applyBorder="1" applyAlignment="1">
      <alignment horizontal="center"/>
    </xf>
    <xf numFmtId="0" fontId="17" fillId="8" borderId="66" xfId="0" applyFont="1" applyFill="1" applyBorder="1" applyAlignment="1">
      <alignment horizontal="center" vertical="center"/>
    </xf>
    <xf numFmtId="0" fontId="17" fillId="8" borderId="68" xfId="0" applyFont="1" applyFill="1" applyBorder="1" applyAlignment="1">
      <alignment horizontal="center" vertical="center"/>
    </xf>
    <xf numFmtId="0" fontId="2" fillId="2" borderId="71" xfId="0" applyFont="1" applyFill="1" applyBorder="1" applyAlignment="1">
      <alignment horizontal="center" vertical="center"/>
    </xf>
    <xf numFmtId="0" fontId="2" fillId="2" borderId="60" xfId="0" applyFont="1" applyFill="1" applyBorder="1" applyAlignment="1">
      <alignment horizontal="center" vertical="center"/>
    </xf>
    <xf numFmtId="0" fontId="2" fillId="2" borderId="72" xfId="0" applyFont="1" applyFill="1" applyBorder="1" applyAlignment="1">
      <alignment horizontal="center" vertical="center"/>
    </xf>
    <xf numFmtId="0" fontId="2" fillId="2" borderId="73" xfId="0" applyFont="1" applyFill="1" applyBorder="1" applyAlignment="1">
      <alignment horizontal="center" vertical="center"/>
    </xf>
    <xf numFmtId="0" fontId="2" fillId="5" borderId="71" xfId="0" applyFont="1" applyFill="1" applyBorder="1" applyAlignment="1">
      <alignment horizontal="center" vertical="center"/>
    </xf>
    <xf numFmtId="0" fontId="2" fillId="5" borderId="60" xfId="0" applyFont="1" applyFill="1" applyBorder="1" applyAlignment="1">
      <alignment horizontal="center" vertical="center"/>
    </xf>
    <xf numFmtId="0" fontId="2" fillId="5" borderId="72" xfId="0" applyFont="1" applyFill="1" applyBorder="1" applyAlignment="1">
      <alignment horizontal="center" vertical="center"/>
    </xf>
    <xf numFmtId="0" fontId="2" fillId="5" borderId="73" xfId="0" applyFont="1" applyFill="1" applyBorder="1" applyAlignment="1">
      <alignment horizontal="center" vertical="center"/>
    </xf>
    <xf numFmtId="0" fontId="26" fillId="5" borderId="70" xfId="0" applyFont="1" applyFill="1" applyBorder="1" applyAlignment="1">
      <alignment horizontal="center"/>
    </xf>
    <xf numFmtId="0" fontId="26" fillId="5" borderId="28" xfId="0" applyFont="1" applyFill="1" applyBorder="1" applyAlignment="1">
      <alignment horizontal="center"/>
    </xf>
    <xf numFmtId="0" fontId="25" fillId="2" borderId="61" xfId="0" applyFont="1" applyFill="1" applyBorder="1" applyAlignment="1">
      <alignment horizontal="center"/>
    </xf>
    <xf numFmtId="0" fontId="25" fillId="2" borderId="70" xfId="0" applyFont="1" applyFill="1" applyBorder="1" applyAlignment="1">
      <alignment horizontal="center"/>
    </xf>
    <xf numFmtId="0" fontId="25" fillId="2" borderId="28" xfId="0" applyFont="1" applyFill="1" applyBorder="1" applyAlignment="1">
      <alignment horizontal="center"/>
    </xf>
    <xf numFmtId="0" fontId="17" fillId="2" borderId="67" xfId="0" applyFont="1" applyFill="1" applyBorder="1" applyAlignment="1">
      <alignment horizontal="center" vertical="center"/>
    </xf>
    <xf numFmtId="0" fontId="17" fillId="2" borderId="29" xfId="0" applyFont="1" applyFill="1" applyBorder="1" applyAlignment="1">
      <alignment horizontal="center" vertical="center"/>
    </xf>
    <xf numFmtId="0" fontId="17" fillId="5" borderId="71" xfId="0" applyFont="1" applyFill="1" applyBorder="1" applyAlignment="1">
      <alignment horizontal="center" vertical="center"/>
    </xf>
    <xf numFmtId="0" fontId="17" fillId="5" borderId="60" xfId="0" applyFont="1" applyFill="1" applyBorder="1" applyAlignment="1">
      <alignment horizontal="center" vertical="center"/>
    </xf>
    <xf numFmtId="0" fontId="17" fillId="5" borderId="66" xfId="0" applyFont="1" applyFill="1" applyBorder="1" applyAlignment="1">
      <alignment horizontal="center" vertical="center"/>
    </xf>
    <xf numFmtId="0" fontId="17" fillId="5" borderId="68" xfId="0" applyFont="1" applyFill="1" applyBorder="1" applyAlignment="1">
      <alignment horizontal="center" vertical="center"/>
    </xf>
    <xf numFmtId="0" fontId="17" fillId="5" borderId="67" xfId="0" applyFont="1" applyFill="1" applyBorder="1" applyAlignment="1">
      <alignment horizontal="center" vertical="center"/>
    </xf>
    <xf numFmtId="0" fontId="17" fillId="5" borderId="29" xfId="0" applyFont="1" applyFill="1" applyBorder="1" applyAlignment="1">
      <alignment horizontal="center" vertical="center"/>
    </xf>
    <xf numFmtId="0" fontId="2" fillId="2" borderId="66" xfId="0" applyFont="1" applyFill="1" applyBorder="1" applyAlignment="1">
      <alignment horizontal="center" vertical="center"/>
    </xf>
    <xf numFmtId="0" fontId="2" fillId="2" borderId="68" xfId="0" applyFont="1" applyFill="1" applyBorder="1" applyAlignment="1">
      <alignment horizontal="center" vertical="center"/>
    </xf>
    <xf numFmtId="0" fontId="17" fillId="2" borderId="66" xfId="0" applyFont="1" applyFill="1" applyBorder="1" applyAlignment="1">
      <alignment horizontal="center" vertical="center"/>
    </xf>
    <xf numFmtId="0" fontId="17" fillId="2" borderId="68" xfId="0" applyFont="1" applyFill="1" applyBorder="1" applyAlignment="1">
      <alignment horizontal="center" vertical="center"/>
    </xf>
    <xf numFmtId="0" fontId="2" fillId="2" borderId="66" xfId="0" applyFont="1" applyFill="1" applyBorder="1" applyAlignment="1">
      <alignment horizontal="center" vertical="center" wrapText="1"/>
    </xf>
    <xf numFmtId="0" fontId="2" fillId="2" borderId="68" xfId="0" applyFont="1" applyFill="1" applyBorder="1" applyAlignment="1">
      <alignment horizontal="center" vertical="center" wrapText="1"/>
    </xf>
    <xf numFmtId="0" fontId="0" fillId="9" borderId="19" xfId="0" applyFill="1" applyBorder="1" applyAlignment="1">
      <alignment horizontal="center" vertical="center"/>
    </xf>
    <xf numFmtId="0" fontId="0" fillId="9" borderId="16" xfId="0" applyFill="1" applyBorder="1" applyAlignment="1">
      <alignment horizontal="center" vertical="center"/>
    </xf>
    <xf numFmtId="0" fontId="0" fillId="9" borderId="11" xfId="0" applyFill="1" applyBorder="1" applyAlignment="1">
      <alignment horizontal="center" vertical="center"/>
    </xf>
    <xf numFmtId="0" fontId="17" fillId="2" borderId="74" xfId="0" applyFont="1" applyFill="1" applyBorder="1" applyAlignment="1">
      <alignment horizontal="center" vertical="center"/>
    </xf>
    <xf numFmtId="0" fontId="17" fillId="2" borderId="31" xfId="0" applyFont="1" applyFill="1" applyBorder="1" applyAlignment="1">
      <alignment horizontal="center" vertical="center"/>
    </xf>
    <xf numFmtId="0" fontId="13" fillId="9" borderId="0" xfId="0" applyFont="1" applyFill="1" applyAlignment="1">
      <alignment horizontal="left" vertical="center" wrapText="1"/>
    </xf>
    <xf numFmtId="0" fontId="13" fillId="0" borderId="0" xfId="0" applyFont="1" applyAlignment="1">
      <alignment horizontal="center" wrapText="1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econom24\&#1056;&#1072;&#1089;&#1095;&#1077;&#1090;&#1099;\&#1051;&#1091;&#1075;&#1072;&#1085;&#1089;&#1082;%20Euromix\&#1088;&#1072;&#1089;&#1095;&#1077;&#1090;%20&#1101;&#1082;&#1086;&#1085;&#1086;&#1084;&#1080;&#1082;&#1080;%20&#1051;&#1091;&#1075;&#1072;&#1085;&#1089;&#1082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econom24\&#1055;&#1088;&#1086;&#1077;&#1082;&#1090;&#1099;%20(&#1088;&#1072;&#1089;&#1095;&#1077;&#1090;&#1099;)\&#1053;&#1086;&#1088;&#1080;&#1083;&#1100;&#1089;&#1082;\&#1052;&#1086;&#1076;&#1077;&#1083;&#1100;%20&#1053;&#1086;&#1088;&#1080;&#1083;&#1100;&#1089;&#108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бор материала"/>
      <sheetName val="мощность"/>
      <sheetName val="цены самовывоз ВТР"/>
      <sheetName val="энергорес"/>
      <sheetName val="газ и ээ"/>
      <sheetName val="рецептура сырье с ВТР"/>
      <sheetName val="Лист2"/>
      <sheetName val="рентабельность СССЦ"/>
      <sheetName val="Мультиклей сырье"/>
      <sheetName val="рецептура сырье с ВСК"/>
      <sheetName val="Керамик"/>
      <sheetName val="Керамик +"/>
      <sheetName val="Мультиклей"/>
      <sheetName val="Акваслой МН"/>
      <sheetName val="Цемент Актив"/>
      <sheetName val="Марж Прибыль"/>
      <sheetName val="для БИЗНЕС-ПЛАНА"/>
      <sheetName val="для БИЗНЕС-ПЛАНА с инфл"/>
      <sheetName val="ОПИУ"/>
      <sheetName val="Марж Прибыль сырье с ВСК"/>
      <sheetName val="стоимость доставки"/>
      <sheetName val="виды перевозок"/>
      <sheetName val="Постоянные"/>
    </sheetNames>
    <sheetDataSet>
      <sheetData sheetId="0"/>
      <sheetData sheetId="1"/>
      <sheetData sheetId="2"/>
      <sheetData sheetId="3">
        <row r="3">
          <cell r="B3">
            <v>7.2</v>
          </cell>
        </row>
        <row r="4">
          <cell r="B4">
            <v>4.91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водные данные"/>
      <sheetName val="параметры модели"/>
      <sheetName val="доставка сырья"/>
      <sheetName val="СВОД проекта"/>
      <sheetName val="СВОД Марж прибыли"/>
      <sheetName val="Свод продаж по СКЮ"/>
      <sheetName val="веса"/>
      <sheetName val="загрузка мощн-потр в камне"/>
      <sheetName val="цены на сырье"/>
      <sheetName val="Малахов"/>
      <sheetName val="Собин"/>
      <sheetName val="продажи"/>
      <sheetName val="все сс тех лист"/>
      <sheetName val="ГКЛ 12 сс"/>
      <sheetName val="ГКЛ 9 сс"/>
      <sheetName val="ГКЛВ 12 сс"/>
      <sheetName val="ГКЛВ 9 сс"/>
      <sheetName val="Слой 30 (Слой ЕС) сс"/>
      <sheetName val="накладные"/>
      <sheetName val="сравнение линий ВСК"/>
    </sheetNames>
    <sheetDataSet>
      <sheetData sheetId="0" refreshError="1"/>
      <sheetData sheetId="1">
        <row r="3">
          <cell r="C3">
            <v>76</v>
          </cell>
        </row>
        <row r="15">
          <cell r="B15">
            <v>-0.15</v>
          </cell>
        </row>
        <row r="30">
          <cell r="B30">
            <v>65</v>
          </cell>
        </row>
        <row r="31">
          <cell r="B31">
            <v>85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C00000"/>
  </sheetPr>
  <dimension ref="B1:J30"/>
  <sheetViews>
    <sheetView topLeftCell="A13" zoomScale="85" zoomScaleNormal="85" workbookViewId="0">
      <selection activeCell="C26" sqref="C26"/>
    </sheetView>
  </sheetViews>
  <sheetFormatPr defaultColWidth="9.140625" defaultRowHeight="15" x14ac:dyDescent="0.25"/>
  <cols>
    <col min="1" max="1" width="9.140625" style="15"/>
    <col min="2" max="2" width="22.5703125" style="15" customWidth="1"/>
    <col min="3" max="3" width="23.140625" style="15" customWidth="1"/>
    <col min="4" max="4" width="19" style="15" customWidth="1"/>
    <col min="5" max="5" width="16.7109375" style="15" customWidth="1"/>
    <col min="6" max="6" width="17.7109375" style="15" customWidth="1"/>
    <col min="7" max="7" width="13.5703125" style="15" bestFit="1" customWidth="1"/>
    <col min="8" max="8" width="13.5703125" style="15" customWidth="1"/>
    <col min="9" max="9" width="13.42578125" style="15" bestFit="1" customWidth="1"/>
    <col min="10" max="10" width="25.28515625" style="15" customWidth="1"/>
    <col min="11" max="11" width="8" style="15" customWidth="1"/>
    <col min="12" max="12" width="32.140625" style="15" bestFit="1" customWidth="1"/>
    <col min="13" max="13" width="11.7109375" style="15" customWidth="1"/>
    <col min="14" max="15" width="12.85546875" style="15" bestFit="1" customWidth="1"/>
    <col min="16" max="16" width="14.140625" style="15" bestFit="1" customWidth="1"/>
    <col min="17" max="17" width="9.140625" style="15"/>
    <col min="18" max="18" width="38.28515625" style="15" customWidth="1"/>
    <col min="19" max="19" width="9" style="15" bestFit="1" customWidth="1"/>
    <col min="20" max="16384" width="9.140625" style="15"/>
  </cols>
  <sheetData>
    <row r="1" spans="2:10" x14ac:dyDescent="0.25">
      <c r="E1" s="25"/>
      <c r="F1" s="25"/>
      <c r="G1" s="25"/>
      <c r="H1" s="25"/>
      <c r="I1" s="25"/>
      <c r="J1" s="25"/>
    </row>
    <row r="2" spans="2:10" x14ac:dyDescent="0.25">
      <c r="B2" s="429" t="s">
        <v>132</v>
      </c>
    </row>
    <row r="4" spans="2:10" ht="15.75" x14ac:dyDescent="0.25">
      <c r="B4" s="472" t="s">
        <v>17</v>
      </c>
      <c r="C4" s="473" t="s">
        <v>87</v>
      </c>
      <c r="D4" s="473" t="s">
        <v>88</v>
      </c>
      <c r="E4" s="473"/>
      <c r="F4" s="473" t="s">
        <v>89</v>
      </c>
      <c r="G4" s="473"/>
      <c r="H4" s="473"/>
      <c r="I4" s="473" t="s">
        <v>90</v>
      </c>
      <c r="J4" s="473"/>
    </row>
    <row r="5" spans="2:10" ht="94.5" x14ac:dyDescent="0.25">
      <c r="B5" s="472"/>
      <c r="C5" s="473"/>
      <c r="D5" s="185" t="s">
        <v>91</v>
      </c>
      <c r="E5" s="185" t="s">
        <v>92</v>
      </c>
      <c r="F5" s="185" t="s">
        <v>93</v>
      </c>
      <c r="G5" s="185" t="s">
        <v>94</v>
      </c>
      <c r="H5" s="185" t="s">
        <v>95</v>
      </c>
      <c r="I5" s="185" t="s">
        <v>96</v>
      </c>
      <c r="J5" s="185" t="s">
        <v>135</v>
      </c>
    </row>
    <row r="6" spans="2:10" ht="15.75" x14ac:dyDescent="0.25">
      <c r="B6" s="186" t="s">
        <v>98</v>
      </c>
      <c r="C6" s="187">
        <f>Штат!H5</f>
        <v>145</v>
      </c>
      <c r="D6" s="188">
        <f>Инвестиции!C14</f>
        <v>14550</v>
      </c>
      <c r="E6" s="187">
        <f>Инвестиции!C15</f>
        <v>0</v>
      </c>
      <c r="F6" s="187">
        <f t="array" ref="F6:F17">TRANSPOSE('Выручка и БДР'!D44:O44)</f>
        <v>151408.77599999998</v>
      </c>
      <c r="G6" s="187">
        <f t="array" ref="G6:G17">TRANSPOSE('Выручка и БДР'!D29:O29)</f>
        <v>30281.7552</v>
      </c>
      <c r="H6" s="187">
        <f t="array" ref="H6:H17">TRANSPOSE('Выручка и БДР'!D65:O65)</f>
        <v>34522.355200000005</v>
      </c>
      <c r="I6" s="187">
        <f t="array" ref="I6:I17">TRANSPOSE('Выручка и БДР'!D6:O6)</f>
        <v>185562.4</v>
      </c>
      <c r="J6" s="187">
        <f t="array" ref="J6:J17">TRANSPOSE(Выручка!D20:O20)</f>
        <v>7000</v>
      </c>
    </row>
    <row r="7" spans="2:10" ht="15.75" x14ac:dyDescent="0.25">
      <c r="B7" s="186" t="s">
        <v>99</v>
      </c>
      <c r="C7" s="196">
        <f>Штат!I5</f>
        <v>340</v>
      </c>
      <c r="D7" s="188">
        <f>Инвестиции!D14</f>
        <v>14550</v>
      </c>
      <c r="E7" s="187">
        <f>Инвестиции!D15</f>
        <v>0</v>
      </c>
      <c r="F7" s="187">
        <v>498715.64832799998</v>
      </c>
      <c r="G7" s="187">
        <v>99743.129665600005</v>
      </c>
      <c r="H7" s="187">
        <v>112723.08966560001</v>
      </c>
      <c r="I7" s="187">
        <v>557243.8872</v>
      </c>
      <c r="J7" s="189">
        <v>21000</v>
      </c>
    </row>
    <row r="8" spans="2:10" ht="15.75" x14ac:dyDescent="0.25">
      <c r="B8" s="186" t="s">
        <v>100</v>
      </c>
      <c r="C8" s="196">
        <f>Штат!J5</f>
        <v>340</v>
      </c>
      <c r="D8" s="188">
        <f>Инвестиции!E14</f>
        <v>14550</v>
      </c>
      <c r="E8" s="187">
        <f>Инвестиции!E15</f>
        <v>0</v>
      </c>
      <c r="F8" s="187">
        <v>499267.31977632787</v>
      </c>
      <c r="G8" s="187">
        <v>99853.463955265586</v>
      </c>
      <c r="H8" s="187">
        <v>112833.42395526558</v>
      </c>
      <c r="I8" s="187">
        <v>557801.1310871999</v>
      </c>
      <c r="J8" s="187">
        <v>21000</v>
      </c>
    </row>
    <row r="9" spans="2:10" ht="15.75" x14ac:dyDescent="0.25">
      <c r="B9" s="186" t="s">
        <v>101</v>
      </c>
      <c r="C9" s="196">
        <f>Штат!K5</f>
        <v>340</v>
      </c>
      <c r="D9" s="188">
        <f>Инвестиции!F14</f>
        <v>14550</v>
      </c>
      <c r="E9" s="187">
        <f>Инвестиции!F15</f>
        <v>0</v>
      </c>
      <c r="F9" s="187">
        <v>499819.54289610416</v>
      </c>
      <c r="G9" s="187">
        <v>99963.908579220835</v>
      </c>
      <c r="H9" s="187">
        <v>112943.86857922084</v>
      </c>
      <c r="I9" s="187">
        <v>558358.93221828702</v>
      </c>
      <c r="J9" s="187">
        <v>21000</v>
      </c>
    </row>
    <row r="10" spans="2:10" ht="15.75" x14ac:dyDescent="0.25">
      <c r="B10" s="186" t="s">
        <v>102</v>
      </c>
      <c r="C10" s="196">
        <f>Штат!L5</f>
        <v>340</v>
      </c>
      <c r="D10" s="188">
        <f>Инвестиции!G14</f>
        <v>8225</v>
      </c>
      <c r="E10" s="187">
        <f>Инвестиции!G15</f>
        <v>0</v>
      </c>
      <c r="F10" s="187">
        <v>733078.06816952606</v>
      </c>
      <c r="G10" s="187">
        <v>146615.61363390522</v>
      </c>
      <c r="H10" s="187">
        <v>161034.07363390521</v>
      </c>
      <c r="I10" s="187">
        <v>794849.86683790502</v>
      </c>
      <c r="J10" s="187">
        <v>29900</v>
      </c>
    </row>
    <row r="11" spans="2:10" ht="15.75" x14ac:dyDescent="0.25">
      <c r="B11" s="186" t="s">
        <v>103</v>
      </c>
      <c r="C11" s="196">
        <f>Штат!M5</f>
        <v>340</v>
      </c>
      <c r="D11" s="188">
        <f>Инвестиции!H14</f>
        <v>8225</v>
      </c>
      <c r="E11" s="187">
        <f>Инвестиции!H15</f>
        <v>0</v>
      </c>
      <c r="F11" s="187">
        <v>733864.9695376954</v>
      </c>
      <c r="G11" s="187">
        <v>146772.99390753909</v>
      </c>
      <c r="H11" s="187">
        <v>161191.45390753905</v>
      </c>
      <c r="I11" s="187">
        <v>795644.71670474275</v>
      </c>
      <c r="J11" s="189">
        <v>29900</v>
      </c>
    </row>
    <row r="12" spans="2:10" ht="15.75" x14ac:dyDescent="0.25">
      <c r="B12" s="186" t="s">
        <v>104</v>
      </c>
      <c r="C12" s="196">
        <f>Штат!N5</f>
        <v>340</v>
      </c>
      <c r="D12" s="188">
        <f>Инвестиции!I14</f>
        <v>8225</v>
      </c>
      <c r="E12" s="187">
        <f>Инвестиции!I15</f>
        <v>0</v>
      </c>
      <c r="F12" s="187">
        <v>726556.25780723302</v>
      </c>
      <c r="G12" s="187">
        <v>145311.25156144661</v>
      </c>
      <c r="H12" s="187">
        <v>163217.39156144662</v>
      </c>
      <c r="I12" s="187">
        <v>796440.36142144748</v>
      </c>
      <c r="J12" s="187">
        <v>29900</v>
      </c>
    </row>
    <row r="13" spans="2:10" ht="15.75" x14ac:dyDescent="0.25">
      <c r="B13" s="186" t="s">
        <v>105</v>
      </c>
      <c r="C13" s="196">
        <f>Штат!O5</f>
        <v>340</v>
      </c>
      <c r="D13" s="188">
        <f>Инвестиции!J14</f>
        <v>8225</v>
      </c>
      <c r="E13" s="187">
        <f>Инвестиции!J15</f>
        <v>0</v>
      </c>
      <c r="F13" s="187">
        <v>727344.73376504006</v>
      </c>
      <c r="G13" s="187">
        <v>145468.94675300803</v>
      </c>
      <c r="H13" s="187">
        <v>163375.08675300804</v>
      </c>
      <c r="I13" s="187">
        <v>797236.8017828688</v>
      </c>
      <c r="J13" s="187">
        <v>29900</v>
      </c>
    </row>
    <row r="14" spans="2:10" ht="15.75" x14ac:dyDescent="0.25">
      <c r="B14" s="186" t="s">
        <v>106</v>
      </c>
      <c r="C14" s="196">
        <f>Штат!P5</f>
        <v>340</v>
      </c>
      <c r="D14" s="188">
        <f>Инвестиции!K14</f>
        <v>8225</v>
      </c>
      <c r="E14" s="187">
        <f>Инвестиции!K15</f>
        <v>0</v>
      </c>
      <c r="F14" s="187">
        <v>727266.49819880503</v>
      </c>
      <c r="G14" s="187">
        <v>145453.29963976101</v>
      </c>
      <c r="H14" s="187">
        <v>163532.93963976103</v>
      </c>
      <c r="I14" s="187">
        <v>798034.03858465154</v>
      </c>
      <c r="J14" s="187">
        <v>29900</v>
      </c>
    </row>
    <row r="15" spans="2:10" ht="15.75" x14ac:dyDescent="0.25">
      <c r="B15" s="186" t="s">
        <v>107</v>
      </c>
      <c r="C15" s="196">
        <f>Штат!Q5</f>
        <v>340</v>
      </c>
      <c r="D15" s="188">
        <f>Инвестиции!L14</f>
        <v>8225</v>
      </c>
      <c r="E15" s="187">
        <f>Инвестиции!L15</f>
        <v>0</v>
      </c>
      <c r="F15" s="187">
        <v>728056.55189700378</v>
      </c>
      <c r="G15" s="187">
        <v>145611.31037940076</v>
      </c>
      <c r="H15" s="187">
        <v>163690.95037940078</v>
      </c>
      <c r="I15" s="187">
        <v>798832.0726232361</v>
      </c>
      <c r="J15" s="189">
        <v>29900</v>
      </c>
    </row>
    <row r="16" spans="2:10" ht="15.75" x14ac:dyDescent="0.25">
      <c r="B16" s="186" t="s">
        <v>108</v>
      </c>
      <c r="C16" s="196">
        <f>Штат!R5</f>
        <v>340</v>
      </c>
      <c r="D16" s="188">
        <f>Инвестиции!M14</f>
        <v>8225</v>
      </c>
      <c r="E16" s="187">
        <f>Инвестиции!M15</f>
        <v>0</v>
      </c>
      <c r="F16" s="187">
        <v>728847.39564890077</v>
      </c>
      <c r="G16" s="187">
        <v>145769.47912978017</v>
      </c>
      <c r="H16" s="187">
        <v>163849.11912978019</v>
      </c>
      <c r="I16" s="187">
        <v>799630.90469585941</v>
      </c>
      <c r="J16" s="187">
        <v>29900</v>
      </c>
    </row>
    <row r="17" spans="2:10" ht="15.75" x14ac:dyDescent="0.25">
      <c r="B17" s="186" t="s">
        <v>109</v>
      </c>
      <c r="C17" s="196">
        <f>Штат!S5</f>
        <v>340</v>
      </c>
      <c r="D17" s="188">
        <f>Инвестиции!N14</f>
        <v>8225</v>
      </c>
      <c r="E17" s="187">
        <f>Инвестиции!N15</f>
        <v>0</v>
      </c>
      <c r="F17" s="187">
        <v>729639.03024454962</v>
      </c>
      <c r="G17" s="187">
        <v>145927.80604890993</v>
      </c>
      <c r="H17" s="187">
        <v>164007.44604890994</v>
      </c>
      <c r="I17" s="187">
        <v>800430.53560055513</v>
      </c>
      <c r="J17" s="187">
        <v>29900</v>
      </c>
    </row>
    <row r="18" spans="2:10" x14ac:dyDescent="0.25">
      <c r="B18" s="184" t="s">
        <v>110</v>
      </c>
      <c r="C18" s="87"/>
      <c r="D18" s="193">
        <f t="shared" ref="D18:J18" si="0">SUM(D6:D17)</f>
        <v>124000</v>
      </c>
      <c r="E18" s="193">
        <f t="shared" si="0"/>
        <v>0</v>
      </c>
      <c r="F18" s="193">
        <f t="shared" si="0"/>
        <v>7483864.792269187</v>
      </c>
      <c r="G18" s="193">
        <f t="shared" si="0"/>
        <v>1496772.9584538373</v>
      </c>
      <c r="H18" s="193">
        <f t="shared" si="0"/>
        <v>1676921.1984538373</v>
      </c>
      <c r="I18" s="193">
        <f t="shared" si="0"/>
        <v>8240065.6487567527</v>
      </c>
      <c r="J18" s="193">
        <f t="shared" si="0"/>
        <v>309200</v>
      </c>
    </row>
    <row r="19" spans="2:10" ht="15.75" x14ac:dyDescent="0.25">
      <c r="B19" s="448" t="s">
        <v>134</v>
      </c>
      <c r="C19" s="448"/>
      <c r="D19" s="448"/>
      <c r="E19" s="448"/>
      <c r="F19" s="448"/>
      <c r="G19" s="448"/>
      <c r="H19" s="448"/>
      <c r="I19" s="448"/>
      <c r="J19" s="448"/>
    </row>
    <row r="20" spans="2:10" ht="15.75" x14ac:dyDescent="0.25">
      <c r="D20" s="183"/>
      <c r="E20" s="183"/>
      <c r="F20" s="183"/>
      <c r="G20" s="183"/>
      <c r="H20" s="183"/>
      <c r="I20" s="183"/>
      <c r="J20" s="183"/>
    </row>
    <row r="21" spans="2:10" ht="15.75" x14ac:dyDescent="0.25">
      <c r="D21" s="234"/>
      <c r="E21" s="234"/>
      <c r="F21" s="234"/>
      <c r="G21" s="234"/>
      <c r="H21" s="234"/>
      <c r="I21" s="234"/>
      <c r="J21" s="234"/>
    </row>
    <row r="22" spans="2:10" x14ac:dyDescent="0.25">
      <c r="B22" s="184"/>
      <c r="C22" s="72"/>
      <c r="D22" s="193">
        <f>D18-SUM(Инвестиции!J10)</f>
        <v>0</v>
      </c>
      <c r="E22" s="193"/>
      <c r="F22" s="193">
        <f>F18-'Выручка и БДР'!W44</f>
        <v>0</v>
      </c>
      <c r="G22" s="193">
        <f>G18-'Выручка и БДР'!W49</f>
        <v>0</v>
      </c>
      <c r="H22" s="193"/>
      <c r="I22" s="193">
        <f>I18-'Выручка и БДР'!W6</f>
        <v>0</v>
      </c>
      <c r="J22" s="193"/>
    </row>
    <row r="23" spans="2:10" x14ac:dyDescent="0.25">
      <c r="B23" s="184" t="s">
        <v>111</v>
      </c>
      <c r="C23" s="87"/>
      <c r="D23" s="87"/>
      <c r="E23" s="87"/>
      <c r="F23" s="87"/>
      <c r="G23" s="87"/>
      <c r="H23" s="87"/>
      <c r="I23" s="87"/>
      <c r="J23" s="87"/>
    </row>
    <row r="24" spans="2:10" ht="15.75" x14ac:dyDescent="0.25">
      <c r="B24" s="472" t="s">
        <v>17</v>
      </c>
      <c r="C24" s="473" t="s">
        <v>87</v>
      </c>
      <c r="D24" s="473" t="s">
        <v>88</v>
      </c>
      <c r="E24" s="473"/>
      <c r="F24" s="473" t="s">
        <v>89</v>
      </c>
      <c r="G24" s="473"/>
      <c r="H24" s="473"/>
      <c r="I24" s="473" t="s">
        <v>90</v>
      </c>
      <c r="J24" s="473"/>
    </row>
    <row r="25" spans="2:10" ht="94.5" x14ac:dyDescent="0.25">
      <c r="B25" s="472"/>
      <c r="C25" s="473"/>
      <c r="D25" s="185" t="s">
        <v>91</v>
      </c>
      <c r="E25" s="185" t="s">
        <v>92</v>
      </c>
      <c r="F25" s="185" t="s">
        <v>93</v>
      </c>
      <c r="G25" s="185" t="s">
        <v>94</v>
      </c>
      <c r="H25" s="185" t="s">
        <v>95</v>
      </c>
      <c r="I25" s="185" t="s">
        <v>96</v>
      </c>
      <c r="J25" s="185" t="s">
        <v>97</v>
      </c>
    </row>
    <row r="26" spans="2:10" ht="15.75" x14ac:dyDescent="0.25">
      <c r="B26" s="190" t="s">
        <v>81</v>
      </c>
      <c r="C26" s="449">
        <f>AVERAGE(C6:C9)</f>
        <v>291.25</v>
      </c>
      <c r="D26" s="191">
        <f t="shared" ref="D26:J26" si="1">SUM(D6:D9)</f>
        <v>58200</v>
      </c>
      <c r="E26" s="191">
        <f t="shared" si="1"/>
        <v>0</v>
      </c>
      <c r="F26" s="191">
        <f t="shared" si="1"/>
        <v>1649211.2870004321</v>
      </c>
      <c r="G26" s="191">
        <f t="shared" si="1"/>
        <v>329842.25740008644</v>
      </c>
      <c r="H26" s="191">
        <f t="shared" si="1"/>
        <v>373022.73740008648</v>
      </c>
      <c r="I26" s="191">
        <f t="shared" si="1"/>
        <v>1858966.3505054871</v>
      </c>
      <c r="J26" s="191">
        <f t="shared" si="1"/>
        <v>70000</v>
      </c>
    </row>
    <row r="27" spans="2:10" ht="15.75" x14ac:dyDescent="0.25">
      <c r="B27" s="190" t="s">
        <v>82</v>
      </c>
      <c r="C27" s="449">
        <f>AVERAGE(C10:C13)</f>
        <v>340</v>
      </c>
      <c r="D27" s="191">
        <f t="shared" ref="D27:J27" si="2">SUM(D10:D13)</f>
        <v>32900</v>
      </c>
      <c r="E27" s="191">
        <f t="shared" si="2"/>
        <v>0</v>
      </c>
      <c r="F27" s="191">
        <f t="shared" si="2"/>
        <v>2920844.0292794947</v>
      </c>
      <c r="G27" s="191">
        <f t="shared" si="2"/>
        <v>584168.805855899</v>
      </c>
      <c r="H27" s="191">
        <f t="shared" si="2"/>
        <v>648818.00585589895</v>
      </c>
      <c r="I27" s="191">
        <f t="shared" si="2"/>
        <v>3184171.7467469638</v>
      </c>
      <c r="J27" s="191">
        <f t="shared" si="2"/>
        <v>119600</v>
      </c>
    </row>
    <row r="28" spans="2:10" ht="15.75" x14ac:dyDescent="0.25">
      <c r="B28" s="190" t="s">
        <v>83</v>
      </c>
      <c r="C28" s="449">
        <f>AVERAGE(C14:C17)</f>
        <v>340</v>
      </c>
      <c r="D28" s="191">
        <f t="shared" ref="D28:J28" si="3">SUM(D14:D17)</f>
        <v>32900</v>
      </c>
      <c r="E28" s="191">
        <f t="shared" si="3"/>
        <v>0</v>
      </c>
      <c r="F28" s="191">
        <f t="shared" si="3"/>
        <v>2913809.4759892593</v>
      </c>
      <c r="G28" s="191">
        <f t="shared" si="3"/>
        <v>582761.89519785182</v>
      </c>
      <c r="H28" s="191">
        <f t="shared" si="3"/>
        <v>655080.45519785187</v>
      </c>
      <c r="I28" s="191">
        <f t="shared" si="3"/>
        <v>3196927.5515043018</v>
      </c>
      <c r="J28" s="191">
        <f t="shared" si="3"/>
        <v>119600</v>
      </c>
    </row>
    <row r="29" spans="2:10" x14ac:dyDescent="0.25">
      <c r="B29" s="184" t="s">
        <v>110</v>
      </c>
      <c r="C29" s="87"/>
      <c r="D29" s="192">
        <f>D26+D27+D28</f>
        <v>124000</v>
      </c>
      <c r="E29" s="192">
        <f t="shared" ref="E29:J29" si="4">E26+E27+E28</f>
        <v>0</v>
      </c>
      <c r="F29" s="192">
        <f t="shared" si="4"/>
        <v>7483864.792269187</v>
      </c>
      <c r="G29" s="192">
        <f t="shared" si="4"/>
        <v>1496772.9584538373</v>
      </c>
      <c r="H29" s="192">
        <f t="shared" si="4"/>
        <v>1676921.1984538373</v>
      </c>
      <c r="I29" s="192">
        <f t="shared" si="4"/>
        <v>8240065.6487567527</v>
      </c>
      <c r="J29" s="192">
        <f t="shared" si="4"/>
        <v>309200</v>
      </c>
    </row>
    <row r="30" spans="2:10" x14ac:dyDescent="0.25">
      <c r="B30" s="184"/>
      <c r="C30" s="87"/>
      <c r="D30" s="192">
        <f t="shared" ref="D30:J30" si="5">D18-D29</f>
        <v>0</v>
      </c>
      <c r="E30" s="192">
        <f t="shared" si="5"/>
        <v>0</v>
      </c>
      <c r="F30" s="192">
        <f t="shared" si="5"/>
        <v>0</v>
      </c>
      <c r="G30" s="192">
        <f t="shared" si="5"/>
        <v>0</v>
      </c>
      <c r="H30" s="192">
        <f t="shared" si="5"/>
        <v>0</v>
      </c>
      <c r="I30" s="192">
        <f t="shared" si="5"/>
        <v>0</v>
      </c>
      <c r="J30" s="192">
        <f t="shared" si="5"/>
        <v>0</v>
      </c>
    </row>
  </sheetData>
  <mergeCells count="10">
    <mergeCell ref="B24:B25"/>
    <mergeCell ref="C24:C25"/>
    <mergeCell ref="D24:E24"/>
    <mergeCell ref="F24:H24"/>
    <mergeCell ref="I24:J24"/>
    <mergeCell ref="B4:B5"/>
    <mergeCell ref="C4:C5"/>
    <mergeCell ref="D4:E4"/>
    <mergeCell ref="F4:H4"/>
    <mergeCell ref="I4:J4"/>
  </mergeCells>
  <pageMargins left="0.7" right="0.7" top="0.75" bottom="0.75" header="0.3" footer="0.3"/>
  <pageSetup paperSize="9" orientation="portrait" horizontalDpi="200" verticalDpi="2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4"/>
  </sheetPr>
  <dimension ref="A1:AA76"/>
  <sheetViews>
    <sheetView topLeftCell="A55" zoomScale="120" zoomScaleNormal="120" workbookViewId="0">
      <selection activeCell="C78" sqref="C78"/>
    </sheetView>
  </sheetViews>
  <sheetFormatPr defaultColWidth="9.140625" defaultRowHeight="15" outlineLevelRow="1" outlineLevelCol="1" x14ac:dyDescent="0.25"/>
  <cols>
    <col min="1" max="1" width="10.5703125" style="11" customWidth="1"/>
    <col min="2" max="2" width="31.5703125" style="54" customWidth="1" outlineLevel="1"/>
    <col min="3" max="3" width="11.28515625" style="11" customWidth="1" outlineLevel="1"/>
    <col min="4" max="7" width="13.85546875" style="88" customWidth="1" outlineLevel="1"/>
    <col min="8" max="11" width="13.28515625" style="88" customWidth="1" outlineLevel="1"/>
    <col min="12" max="14" width="13.42578125" style="88" customWidth="1" outlineLevel="1"/>
    <col min="15" max="15" width="13.42578125" style="88" customWidth="1" outlineLevel="1" collapsed="1"/>
    <col min="16" max="16" width="13.42578125" style="88" customWidth="1" outlineLevel="1"/>
    <col min="17" max="17" width="7.5703125" style="88" customWidth="1"/>
    <col min="18" max="18" width="34.28515625" style="88" customWidth="1"/>
    <col min="19" max="19" width="10.28515625" style="88" customWidth="1" collapsed="1"/>
    <col min="20" max="20" width="13.28515625" style="11" customWidth="1"/>
    <col min="21" max="22" width="13.42578125" style="11" customWidth="1"/>
    <col min="23" max="23" width="13.28515625" style="11" customWidth="1"/>
    <col min="24" max="24" width="11.85546875" customWidth="1"/>
    <col min="26" max="26" width="12.42578125" style="11" customWidth="1"/>
    <col min="27" max="27" width="13.85546875" style="11" customWidth="1"/>
    <col min="28" max="16384" width="9.140625" style="11"/>
  </cols>
  <sheetData>
    <row r="1" spans="2:25" x14ac:dyDescent="0.25">
      <c r="B1" s="26"/>
    </row>
    <row r="2" spans="2:25" x14ac:dyDescent="0.25">
      <c r="B2" s="10" t="s">
        <v>60</v>
      </c>
      <c r="T2" s="110"/>
      <c r="U2" s="110"/>
    </row>
    <row r="3" spans="2:25" ht="15.75" thickBot="1" x14ac:dyDescent="0.3">
      <c r="B3" s="12"/>
      <c r="T3" s="68"/>
      <c r="U3" s="68"/>
      <c r="V3" s="88"/>
    </row>
    <row r="4" spans="2:25" s="195" customFormat="1" ht="15.75" thickBot="1" x14ac:dyDescent="0.3">
      <c r="B4" s="484" t="s">
        <v>7</v>
      </c>
      <c r="C4" s="486" t="s">
        <v>11</v>
      </c>
      <c r="D4" s="494" t="s">
        <v>81</v>
      </c>
      <c r="E4" s="495"/>
      <c r="F4" s="495"/>
      <c r="G4" s="496"/>
      <c r="H4" s="495" t="s">
        <v>82</v>
      </c>
      <c r="I4" s="495"/>
      <c r="J4" s="495"/>
      <c r="K4" s="496"/>
      <c r="L4" s="495" t="s">
        <v>83</v>
      </c>
      <c r="M4" s="495"/>
      <c r="N4" s="495"/>
      <c r="O4" s="496"/>
      <c r="P4" s="497" t="s">
        <v>9</v>
      </c>
      <c r="R4" s="484" t="s">
        <v>7</v>
      </c>
      <c r="S4" s="505" t="s">
        <v>11</v>
      </c>
      <c r="T4" s="507" t="s">
        <v>113</v>
      </c>
      <c r="U4" s="497" t="s">
        <v>82</v>
      </c>
      <c r="V4" s="497" t="s">
        <v>83</v>
      </c>
      <c r="W4" s="497" t="s">
        <v>9</v>
      </c>
    </row>
    <row r="5" spans="2:25" ht="15.75" thickBot="1" x14ac:dyDescent="0.3">
      <c r="B5" s="485"/>
      <c r="C5" s="487"/>
      <c r="D5" s="251" t="s">
        <v>112</v>
      </c>
      <c r="E5" s="252" t="s">
        <v>99</v>
      </c>
      <c r="F5" s="252" t="s">
        <v>100</v>
      </c>
      <c r="G5" s="253" t="s">
        <v>101</v>
      </c>
      <c r="H5" s="251" t="s">
        <v>102</v>
      </c>
      <c r="I5" s="252" t="s">
        <v>103</v>
      </c>
      <c r="J5" s="252" t="s">
        <v>104</v>
      </c>
      <c r="K5" s="253" t="s">
        <v>105</v>
      </c>
      <c r="L5" s="251" t="s">
        <v>106</v>
      </c>
      <c r="M5" s="254" t="s">
        <v>107</v>
      </c>
      <c r="N5" s="252" t="s">
        <v>108</v>
      </c>
      <c r="O5" s="253" t="s">
        <v>109</v>
      </c>
      <c r="P5" s="498"/>
      <c r="R5" s="485"/>
      <c r="S5" s="506"/>
      <c r="T5" s="508"/>
      <c r="U5" s="498"/>
      <c r="V5" s="498"/>
      <c r="W5" s="498"/>
    </row>
    <row r="6" spans="2:25" x14ac:dyDescent="0.25">
      <c r="B6" s="428" t="s">
        <v>65</v>
      </c>
      <c r="C6" s="107" t="s">
        <v>0</v>
      </c>
      <c r="D6" s="221">
        <f t="shared" ref="D6:O6" si="0">SUM(D7:D9)</f>
        <v>185562.4</v>
      </c>
      <c r="E6" s="222">
        <f t="shared" si="0"/>
        <v>557243.8872</v>
      </c>
      <c r="F6" s="222">
        <f t="shared" si="0"/>
        <v>557801.1310871999</v>
      </c>
      <c r="G6" s="223">
        <f t="shared" si="0"/>
        <v>558358.93221828702</v>
      </c>
      <c r="H6" s="221">
        <f t="shared" si="0"/>
        <v>794849.86683790502</v>
      </c>
      <c r="I6" s="222">
        <f t="shared" si="0"/>
        <v>795644.71670474275</v>
      </c>
      <c r="J6" s="222">
        <f t="shared" si="0"/>
        <v>796440.36142144748</v>
      </c>
      <c r="K6" s="223">
        <f t="shared" si="0"/>
        <v>797236.8017828688</v>
      </c>
      <c r="L6" s="221">
        <f t="shared" si="0"/>
        <v>798034.03858465154</v>
      </c>
      <c r="M6" s="222">
        <f t="shared" si="0"/>
        <v>798832.0726232361</v>
      </c>
      <c r="N6" s="222">
        <f t="shared" si="0"/>
        <v>799630.90469585941</v>
      </c>
      <c r="O6" s="224">
        <f t="shared" si="0"/>
        <v>800430.53560055513</v>
      </c>
      <c r="P6" s="136">
        <f>SUM(D6:O6)</f>
        <v>8240065.6487567527</v>
      </c>
      <c r="R6" s="456" t="s">
        <v>65</v>
      </c>
      <c r="S6" s="156" t="s">
        <v>0</v>
      </c>
      <c r="T6" s="135">
        <f>SUM(D6:G6)</f>
        <v>1858966.3505054871</v>
      </c>
      <c r="U6" s="135">
        <f>SUM(H6:K6)</f>
        <v>3184171.7467469638</v>
      </c>
      <c r="V6" s="136">
        <f>SUM(L6:O6)</f>
        <v>3196927.5515043018</v>
      </c>
      <c r="W6" s="136">
        <f>SUM(T6:V6)</f>
        <v>8240065.6487567527</v>
      </c>
      <c r="X6" s="283">
        <f>W6-P6</f>
        <v>0</v>
      </c>
    </row>
    <row r="7" spans="2:25" x14ac:dyDescent="0.25">
      <c r="B7" s="420" t="s">
        <v>127</v>
      </c>
      <c r="C7" s="106" t="s">
        <v>0</v>
      </c>
      <c r="D7" s="421">
        <f>Выручка!D8</f>
        <v>82080</v>
      </c>
      <c r="E7" s="422">
        <f>Выручка!E8</f>
        <v>246486.24</v>
      </c>
      <c r="F7" s="422">
        <f>Выручка!F8</f>
        <v>246732.72623999999</v>
      </c>
      <c r="G7" s="423">
        <f>Выручка!G8</f>
        <v>246979.45896623994</v>
      </c>
      <c r="H7" s="421">
        <f>Выручка!H8</f>
        <v>354815.72181395331</v>
      </c>
      <c r="I7" s="422">
        <f>Выручка!I8</f>
        <v>355170.53753576719</v>
      </c>
      <c r="J7" s="422">
        <f>Выручка!J8</f>
        <v>355525.70807330293</v>
      </c>
      <c r="K7" s="423">
        <f>Выручка!K8</f>
        <v>355881.23378137616</v>
      </c>
      <c r="L7" s="421">
        <f>Выручка!L8</f>
        <v>356237.1150151575</v>
      </c>
      <c r="M7" s="422">
        <f>Выручка!M8</f>
        <v>356593.35213017266</v>
      </c>
      <c r="N7" s="422">
        <f>Выручка!N8</f>
        <v>356949.94548230281</v>
      </c>
      <c r="O7" s="424">
        <f>Выручка!O8</f>
        <v>357306.89542778506</v>
      </c>
      <c r="P7" s="132">
        <f>SUM(D7:O7)</f>
        <v>3670758.9344660575</v>
      </c>
      <c r="R7" s="430" t="s">
        <v>127</v>
      </c>
      <c r="S7" s="159" t="s">
        <v>0</v>
      </c>
      <c r="T7" s="131">
        <f>SUM(D7:G7)</f>
        <v>822278.42520623992</v>
      </c>
      <c r="U7" s="131">
        <f>SUM(H7:K7)</f>
        <v>1421393.2012043996</v>
      </c>
      <c r="V7" s="132">
        <f>SUM(L7:O7)</f>
        <v>1427087.3080554181</v>
      </c>
      <c r="W7" s="132">
        <f>SUM(T7:V7)</f>
        <v>3670758.9344660575</v>
      </c>
      <c r="X7" s="283">
        <f>W7-P7</f>
        <v>0</v>
      </c>
    </row>
    <row r="8" spans="2:25" s="88" customFormat="1" x14ac:dyDescent="0.25">
      <c r="B8" s="420" t="s">
        <v>128</v>
      </c>
      <c r="C8" s="106" t="s">
        <v>0</v>
      </c>
      <c r="D8" s="421">
        <f>Выручка!D13</f>
        <v>103482.4</v>
      </c>
      <c r="E8" s="422">
        <f>Выручка!E13</f>
        <v>310757.64720000001</v>
      </c>
      <c r="F8" s="422">
        <f>Выручка!F13</f>
        <v>311068.40484719991</v>
      </c>
      <c r="G8" s="423">
        <f>Выручка!G13</f>
        <v>311379.47325204709</v>
      </c>
      <c r="H8" s="421">
        <f>Выручка!H13</f>
        <v>440034.14502395166</v>
      </c>
      <c r="I8" s="422">
        <f>Выручка!I13</f>
        <v>440474.17916897556</v>
      </c>
      <c r="J8" s="422">
        <f>Выручка!J13</f>
        <v>440914.65334814455</v>
      </c>
      <c r="K8" s="423">
        <f>Выручка!K13</f>
        <v>441355.56800149265</v>
      </c>
      <c r="L8" s="421">
        <f>Выручка!L13</f>
        <v>441796.92356949404</v>
      </c>
      <c r="M8" s="422">
        <f>Выручка!M13</f>
        <v>442238.72049306351</v>
      </c>
      <c r="N8" s="422">
        <f>Выручка!N13</f>
        <v>442680.95921355655</v>
      </c>
      <c r="O8" s="424">
        <f>Выручка!O13</f>
        <v>443123.64017277001</v>
      </c>
      <c r="P8" s="132">
        <f t="shared" ref="P8:P9" si="1">SUM(D8:O8)</f>
        <v>4569306.7142906953</v>
      </c>
      <c r="R8" s="430" t="s">
        <v>128</v>
      </c>
      <c r="S8" s="159" t="s">
        <v>0</v>
      </c>
      <c r="T8" s="131">
        <f t="shared" ref="T8:T9" si="2">SUM(D8:G8)</f>
        <v>1036687.925299247</v>
      </c>
      <c r="U8" s="131">
        <f t="shared" ref="U8:U9" si="3">SUM(H8:K8)</f>
        <v>1762778.5455425645</v>
      </c>
      <c r="V8" s="132">
        <f t="shared" ref="V8:V9" si="4">SUM(L8:O8)</f>
        <v>1769840.243448884</v>
      </c>
      <c r="W8" s="132">
        <f t="shared" ref="W8:W9" si="5">SUM(T8:V8)</f>
        <v>4569306.7142906953</v>
      </c>
      <c r="X8" s="283"/>
      <c r="Y8" s="87"/>
    </row>
    <row r="9" spans="2:25" x14ac:dyDescent="0.25">
      <c r="B9" s="420" t="s">
        <v>129</v>
      </c>
      <c r="C9" s="106" t="s">
        <v>0</v>
      </c>
      <c r="D9" s="421">
        <f>Выручка!D18</f>
        <v>0</v>
      </c>
      <c r="E9" s="422">
        <f>Выручка!E18</f>
        <v>0</v>
      </c>
      <c r="F9" s="422">
        <f>Выручка!F18</f>
        <v>0</v>
      </c>
      <c r="G9" s="423">
        <f>Выручка!G18</f>
        <v>0</v>
      </c>
      <c r="H9" s="421">
        <f>Выручка!H18</f>
        <v>0</v>
      </c>
      <c r="I9" s="422">
        <f>Выручка!I18</f>
        <v>0</v>
      </c>
      <c r="J9" s="422">
        <f>Выручка!J18</f>
        <v>0</v>
      </c>
      <c r="K9" s="423">
        <f>Выручка!K18</f>
        <v>0</v>
      </c>
      <c r="L9" s="421">
        <f>Выручка!L18</f>
        <v>0</v>
      </c>
      <c r="M9" s="422">
        <f>Выручка!M18</f>
        <v>0</v>
      </c>
      <c r="N9" s="422">
        <f>Выручка!N18</f>
        <v>0</v>
      </c>
      <c r="O9" s="424">
        <f>Выручка!O18</f>
        <v>0</v>
      </c>
      <c r="P9" s="134">
        <f t="shared" si="1"/>
        <v>0</v>
      </c>
      <c r="R9" s="430" t="s">
        <v>129</v>
      </c>
      <c r="S9" s="159" t="s">
        <v>0</v>
      </c>
      <c r="T9" s="133">
        <f t="shared" si="2"/>
        <v>0</v>
      </c>
      <c r="U9" s="133">
        <f t="shared" si="3"/>
        <v>0</v>
      </c>
      <c r="V9" s="134">
        <f t="shared" si="4"/>
        <v>0</v>
      </c>
      <c r="W9" s="134">
        <f t="shared" si="5"/>
        <v>0</v>
      </c>
      <c r="X9" s="283">
        <f t="shared" ref="X9:X30" si="6">W9-P9</f>
        <v>0</v>
      </c>
    </row>
    <row r="10" spans="2:25" x14ac:dyDescent="0.25">
      <c r="B10" s="55" t="s">
        <v>79</v>
      </c>
      <c r="C10" s="107" t="s">
        <v>0</v>
      </c>
      <c r="D10" s="225">
        <f>D11+D20</f>
        <v>28763.624</v>
      </c>
      <c r="E10" s="226">
        <f t="shared" ref="E10:O10" si="7">E11+E20</f>
        <v>51348.038871999997</v>
      </c>
      <c r="F10" s="226">
        <f t="shared" si="7"/>
        <v>51353.611310872002</v>
      </c>
      <c r="G10" s="227">
        <f t="shared" si="7"/>
        <v>51359.189322182872</v>
      </c>
      <c r="H10" s="225">
        <f t="shared" si="7"/>
        <v>53724.098668379047</v>
      </c>
      <c r="I10" s="226">
        <f t="shared" si="7"/>
        <v>53732.047167047429</v>
      </c>
      <c r="J10" s="226">
        <f t="shared" si="7"/>
        <v>60853.603614214473</v>
      </c>
      <c r="K10" s="227">
        <f t="shared" si="7"/>
        <v>60861.568017828686</v>
      </c>
      <c r="L10" s="225">
        <f t="shared" si="7"/>
        <v>60869.540385846514</v>
      </c>
      <c r="M10" s="226">
        <f t="shared" si="7"/>
        <v>60877.52072623236</v>
      </c>
      <c r="N10" s="226">
        <f t="shared" si="7"/>
        <v>60885.509046958592</v>
      </c>
      <c r="O10" s="228">
        <f t="shared" si="7"/>
        <v>60893.505356005546</v>
      </c>
      <c r="P10" s="136">
        <f t="shared" ref="P10:P30" si="8">SUM(D10:O10)</f>
        <v>655521.85648756754</v>
      </c>
      <c r="R10" s="150" t="s">
        <v>79</v>
      </c>
      <c r="S10" s="156" t="s">
        <v>0</v>
      </c>
      <c r="T10" s="137">
        <f t="shared" ref="T10:T30" si="9">SUM(D10:G10)</f>
        <v>182824.46350505488</v>
      </c>
      <c r="U10" s="137">
        <f t="shared" ref="U10:U30" si="10">SUM(H10:K10)</f>
        <v>229171.31746746963</v>
      </c>
      <c r="V10" s="136">
        <f t="shared" ref="V10:V30" si="11">SUM(L10:O10)</f>
        <v>243526.07551504299</v>
      </c>
      <c r="W10" s="136">
        <f t="shared" ref="W10:W30" si="12">SUM(T10:V10)</f>
        <v>655521.85648756754</v>
      </c>
      <c r="X10" s="283">
        <f t="shared" si="6"/>
        <v>0</v>
      </c>
    </row>
    <row r="11" spans="2:25" x14ac:dyDescent="0.25">
      <c r="B11" s="55" t="s">
        <v>8</v>
      </c>
      <c r="C11" s="105" t="s">
        <v>0</v>
      </c>
      <c r="D11" s="197">
        <f>D12+D16+D17+D18+D19</f>
        <v>14263.624</v>
      </c>
      <c r="E11" s="198">
        <f t="shared" ref="E11:O11" si="13">E12+E16+E17+E18+E19</f>
        <v>36848.038871999997</v>
      </c>
      <c r="F11" s="198">
        <f t="shared" si="13"/>
        <v>36853.611310872002</v>
      </c>
      <c r="G11" s="199">
        <f t="shared" si="13"/>
        <v>36859.189322182872</v>
      </c>
      <c r="H11" s="197">
        <f t="shared" si="13"/>
        <v>39224.098668379047</v>
      </c>
      <c r="I11" s="198">
        <f t="shared" si="13"/>
        <v>39232.047167047429</v>
      </c>
      <c r="J11" s="198">
        <f t="shared" si="13"/>
        <v>46353.603614214473</v>
      </c>
      <c r="K11" s="199">
        <f t="shared" si="13"/>
        <v>46361.568017828686</v>
      </c>
      <c r="L11" s="197">
        <f t="shared" si="13"/>
        <v>46369.540385846514</v>
      </c>
      <c r="M11" s="198">
        <f t="shared" si="13"/>
        <v>46377.52072623236</v>
      </c>
      <c r="N11" s="198">
        <f t="shared" si="13"/>
        <v>46385.509046958592</v>
      </c>
      <c r="O11" s="112">
        <f t="shared" si="13"/>
        <v>46393.505356005546</v>
      </c>
      <c r="P11" s="139">
        <f t="shared" si="8"/>
        <v>481521.85648756754</v>
      </c>
      <c r="R11" s="150" t="s">
        <v>8</v>
      </c>
      <c r="S11" s="157" t="s">
        <v>0</v>
      </c>
      <c r="T11" s="138">
        <f t="shared" si="9"/>
        <v>124824.46350505488</v>
      </c>
      <c r="U11" s="138">
        <f t="shared" si="10"/>
        <v>171171.31746746963</v>
      </c>
      <c r="V11" s="139">
        <f t="shared" si="11"/>
        <v>185526.07551504299</v>
      </c>
      <c r="W11" s="139">
        <f t="shared" si="12"/>
        <v>481521.85648756754</v>
      </c>
      <c r="X11" s="283">
        <f t="shared" si="6"/>
        <v>0</v>
      </c>
    </row>
    <row r="12" spans="2:25" x14ac:dyDescent="0.25">
      <c r="B12" s="96" t="s">
        <v>64</v>
      </c>
      <c r="C12" s="106" t="s">
        <v>0</v>
      </c>
      <c r="D12" s="229">
        <f>SUM(D13:D15)</f>
        <v>0</v>
      </c>
      <c r="E12" s="230">
        <f t="shared" ref="E12:P15" si="14">SUM(E13:E15)</f>
        <v>0</v>
      </c>
      <c r="F12" s="230">
        <f t="shared" si="14"/>
        <v>0</v>
      </c>
      <c r="G12" s="231">
        <f t="shared" si="14"/>
        <v>0</v>
      </c>
      <c r="H12" s="229">
        <f t="shared" si="14"/>
        <v>0</v>
      </c>
      <c r="I12" s="230">
        <f t="shared" si="14"/>
        <v>0</v>
      </c>
      <c r="J12" s="230">
        <f t="shared" si="14"/>
        <v>0</v>
      </c>
      <c r="K12" s="231">
        <f t="shared" si="14"/>
        <v>0</v>
      </c>
      <c r="L12" s="229">
        <f t="shared" si="14"/>
        <v>0</v>
      </c>
      <c r="M12" s="230">
        <f t="shared" si="14"/>
        <v>0</v>
      </c>
      <c r="N12" s="230">
        <f t="shared" si="14"/>
        <v>0</v>
      </c>
      <c r="O12" s="232">
        <f t="shared" si="14"/>
        <v>0</v>
      </c>
      <c r="P12" s="141">
        <f t="shared" si="14"/>
        <v>2758577.3954129731</v>
      </c>
      <c r="R12" s="151" t="s">
        <v>64</v>
      </c>
      <c r="S12" s="158" t="s">
        <v>0</v>
      </c>
      <c r="T12" s="140">
        <f t="shared" si="9"/>
        <v>0</v>
      </c>
      <c r="U12" s="140">
        <f t="shared" si="10"/>
        <v>0</v>
      </c>
      <c r="V12" s="141">
        <f t="shared" si="11"/>
        <v>0</v>
      </c>
      <c r="W12" s="141">
        <f t="shared" si="12"/>
        <v>0</v>
      </c>
      <c r="X12" s="283">
        <f t="shared" si="6"/>
        <v>-2758577.3954129731</v>
      </c>
    </row>
    <row r="13" spans="2:25" s="88" customFormat="1" x14ac:dyDescent="0.25">
      <c r="B13" s="431" t="s">
        <v>127</v>
      </c>
      <c r="C13" s="233" t="s">
        <v>0</v>
      </c>
      <c r="D13" s="432">
        <f>D7*D33</f>
        <v>0</v>
      </c>
      <c r="E13" s="433">
        <f t="shared" ref="E13:O13" si="15">E7*E33</f>
        <v>0</v>
      </c>
      <c r="F13" s="433">
        <f t="shared" si="15"/>
        <v>0</v>
      </c>
      <c r="G13" s="434">
        <f t="shared" si="15"/>
        <v>0</v>
      </c>
      <c r="H13" s="432">
        <f t="shared" si="15"/>
        <v>0</v>
      </c>
      <c r="I13" s="433">
        <f t="shared" si="15"/>
        <v>0</v>
      </c>
      <c r="J13" s="433">
        <f t="shared" si="15"/>
        <v>0</v>
      </c>
      <c r="K13" s="434">
        <f t="shared" si="15"/>
        <v>0</v>
      </c>
      <c r="L13" s="432">
        <f t="shared" si="15"/>
        <v>0</v>
      </c>
      <c r="M13" s="433">
        <f t="shared" si="15"/>
        <v>0</v>
      </c>
      <c r="N13" s="433">
        <f t="shared" si="15"/>
        <v>0</v>
      </c>
      <c r="O13" s="435">
        <f t="shared" si="15"/>
        <v>0</v>
      </c>
      <c r="P13" s="147">
        <f t="shared" si="14"/>
        <v>1420489.0259502702</v>
      </c>
      <c r="R13" s="446" t="s">
        <v>127</v>
      </c>
      <c r="S13" s="161" t="s">
        <v>0</v>
      </c>
      <c r="T13" s="146">
        <f t="shared" ref="T13:T15" si="16">SUM(D13:G13)</f>
        <v>0</v>
      </c>
      <c r="U13" s="146">
        <f t="shared" ref="U13:U15" si="17">SUM(H13:K13)</f>
        <v>0</v>
      </c>
      <c r="V13" s="147">
        <f t="shared" ref="V13:V15" si="18">SUM(L13:O13)</f>
        <v>0</v>
      </c>
      <c r="W13" s="147">
        <f t="shared" ref="W13:W15" si="19">SUM(T13:V13)</f>
        <v>0</v>
      </c>
      <c r="X13" s="283">
        <f t="shared" si="6"/>
        <v>-1420489.0259502702</v>
      </c>
      <c r="Y13" s="87"/>
    </row>
    <row r="14" spans="2:25" s="88" customFormat="1" x14ac:dyDescent="0.25">
      <c r="B14" s="420" t="s">
        <v>128</v>
      </c>
      <c r="C14" s="106" t="s">
        <v>0</v>
      </c>
      <c r="D14" s="229">
        <f t="shared" ref="D14:O15" si="20">D8*D34</f>
        <v>0</v>
      </c>
      <c r="E14" s="230">
        <f t="shared" si="20"/>
        <v>0</v>
      </c>
      <c r="F14" s="230">
        <f t="shared" si="20"/>
        <v>0</v>
      </c>
      <c r="G14" s="231">
        <f t="shared" si="20"/>
        <v>0</v>
      </c>
      <c r="H14" s="229">
        <f t="shared" si="20"/>
        <v>0</v>
      </c>
      <c r="I14" s="230">
        <f t="shared" si="20"/>
        <v>0</v>
      </c>
      <c r="J14" s="230">
        <f t="shared" si="20"/>
        <v>0</v>
      </c>
      <c r="K14" s="231">
        <f t="shared" si="20"/>
        <v>0</v>
      </c>
      <c r="L14" s="229">
        <f t="shared" si="20"/>
        <v>0</v>
      </c>
      <c r="M14" s="230">
        <f t="shared" si="20"/>
        <v>0</v>
      </c>
      <c r="N14" s="230">
        <f t="shared" si="20"/>
        <v>0</v>
      </c>
      <c r="O14" s="232">
        <f t="shared" si="20"/>
        <v>0</v>
      </c>
      <c r="P14" s="141">
        <f t="shared" si="14"/>
        <v>861756.51297513512</v>
      </c>
      <c r="R14" s="430" t="s">
        <v>128</v>
      </c>
      <c r="S14" s="158" t="s">
        <v>0</v>
      </c>
      <c r="T14" s="140">
        <f t="shared" si="16"/>
        <v>0</v>
      </c>
      <c r="U14" s="140">
        <f t="shared" si="17"/>
        <v>0</v>
      </c>
      <c r="V14" s="141">
        <f t="shared" si="18"/>
        <v>0</v>
      </c>
      <c r="W14" s="141">
        <f t="shared" si="19"/>
        <v>0</v>
      </c>
      <c r="X14" s="283">
        <f t="shared" si="6"/>
        <v>-861756.51297513512</v>
      </c>
      <c r="Y14" s="87"/>
    </row>
    <row r="15" spans="2:25" s="88" customFormat="1" x14ac:dyDescent="0.25">
      <c r="B15" s="436" t="s">
        <v>129</v>
      </c>
      <c r="C15" s="437" t="s">
        <v>0</v>
      </c>
      <c r="D15" s="438">
        <f t="shared" si="20"/>
        <v>0</v>
      </c>
      <c r="E15" s="439">
        <f t="shared" si="20"/>
        <v>0</v>
      </c>
      <c r="F15" s="439">
        <f t="shared" si="20"/>
        <v>0</v>
      </c>
      <c r="G15" s="440">
        <f t="shared" si="20"/>
        <v>0</v>
      </c>
      <c r="H15" s="438">
        <f t="shared" si="20"/>
        <v>0</v>
      </c>
      <c r="I15" s="439">
        <f t="shared" si="20"/>
        <v>0</v>
      </c>
      <c r="J15" s="439">
        <f t="shared" si="20"/>
        <v>0</v>
      </c>
      <c r="K15" s="440">
        <f t="shared" si="20"/>
        <v>0</v>
      </c>
      <c r="L15" s="438">
        <f t="shared" si="20"/>
        <v>0</v>
      </c>
      <c r="M15" s="439">
        <f t="shared" si="20"/>
        <v>0</v>
      </c>
      <c r="N15" s="439">
        <f t="shared" si="20"/>
        <v>0</v>
      </c>
      <c r="O15" s="441">
        <f t="shared" si="20"/>
        <v>0</v>
      </c>
      <c r="P15" s="442">
        <f t="shared" si="14"/>
        <v>476331.85648756754</v>
      </c>
      <c r="R15" s="443" t="s">
        <v>129</v>
      </c>
      <c r="S15" s="444" t="s">
        <v>0</v>
      </c>
      <c r="T15" s="445">
        <f t="shared" si="16"/>
        <v>0</v>
      </c>
      <c r="U15" s="445">
        <f t="shared" si="17"/>
        <v>0</v>
      </c>
      <c r="V15" s="442">
        <f t="shared" si="18"/>
        <v>0</v>
      </c>
      <c r="W15" s="442">
        <f t="shared" si="19"/>
        <v>0</v>
      </c>
      <c r="X15" s="283">
        <f t="shared" si="6"/>
        <v>-476331.85648756754</v>
      </c>
      <c r="Y15" s="87"/>
    </row>
    <row r="16" spans="2:25" x14ac:dyDescent="0.25">
      <c r="B16" s="96" t="s">
        <v>25</v>
      </c>
      <c r="C16" s="106" t="s">
        <v>0</v>
      </c>
      <c r="D16" s="229">
        <f>D6*D31</f>
        <v>1855.624</v>
      </c>
      <c r="E16" s="230">
        <f t="shared" ref="E16:O16" si="21">E6*E31</f>
        <v>5572.4388719999997</v>
      </c>
      <c r="F16" s="230">
        <f t="shared" si="21"/>
        <v>5578.0113108719988</v>
      </c>
      <c r="G16" s="231">
        <f t="shared" si="21"/>
        <v>5583.5893221828701</v>
      </c>
      <c r="H16" s="229">
        <f t="shared" si="21"/>
        <v>7948.4986683790503</v>
      </c>
      <c r="I16" s="230">
        <f t="shared" si="21"/>
        <v>7956.4471670474277</v>
      </c>
      <c r="J16" s="230">
        <f t="shared" si="21"/>
        <v>7964.4036142144751</v>
      </c>
      <c r="K16" s="231">
        <f t="shared" si="21"/>
        <v>7972.3680178286886</v>
      </c>
      <c r="L16" s="229">
        <f t="shared" si="21"/>
        <v>7980.3403858465153</v>
      </c>
      <c r="M16" s="230">
        <f t="shared" si="21"/>
        <v>7988.3207262323613</v>
      </c>
      <c r="N16" s="230">
        <f t="shared" si="21"/>
        <v>7996.3090469585941</v>
      </c>
      <c r="O16" s="232">
        <f t="shared" si="21"/>
        <v>8004.3053560055514</v>
      </c>
      <c r="P16" s="141">
        <f t="shared" si="8"/>
        <v>82400.656487567539</v>
      </c>
      <c r="R16" s="151" t="s">
        <v>25</v>
      </c>
      <c r="S16" s="158" t="s">
        <v>0</v>
      </c>
      <c r="T16" s="140">
        <f t="shared" si="9"/>
        <v>18589.663505054868</v>
      </c>
      <c r="U16" s="140">
        <f t="shared" si="10"/>
        <v>31841.717467469643</v>
      </c>
      <c r="V16" s="141">
        <f t="shared" si="11"/>
        <v>31969.275515043024</v>
      </c>
      <c r="W16" s="141">
        <f t="shared" si="12"/>
        <v>82400.656487567525</v>
      </c>
      <c r="X16" s="283">
        <f t="shared" si="6"/>
        <v>0</v>
      </c>
    </row>
    <row r="17" spans="1:25" ht="24" x14ac:dyDescent="0.25">
      <c r="B17" s="56" t="s">
        <v>138</v>
      </c>
      <c r="C17" s="106" t="s">
        <v>0</v>
      </c>
      <c r="D17" s="350">
        <f>Штат!H14</f>
        <v>9360</v>
      </c>
      <c r="E17" s="351">
        <f>Штат!I14</f>
        <v>23712</v>
      </c>
      <c r="F17" s="351">
        <f>Штат!J14</f>
        <v>23712</v>
      </c>
      <c r="G17" s="352">
        <f>Штат!K14</f>
        <v>23712</v>
      </c>
      <c r="H17" s="350">
        <f>Штат!L14</f>
        <v>23712</v>
      </c>
      <c r="I17" s="351">
        <f>Штат!M14</f>
        <v>23712</v>
      </c>
      <c r="J17" s="351">
        <f>Штат!N14</f>
        <v>29184</v>
      </c>
      <c r="K17" s="352">
        <f>Штат!O14</f>
        <v>29184</v>
      </c>
      <c r="L17" s="350">
        <f>Штат!P14</f>
        <v>29184</v>
      </c>
      <c r="M17" s="351">
        <f>Штат!Q14</f>
        <v>29184</v>
      </c>
      <c r="N17" s="351">
        <f>Штат!R14</f>
        <v>29184</v>
      </c>
      <c r="O17" s="353">
        <f>Штат!S14</f>
        <v>29184</v>
      </c>
      <c r="P17" s="358">
        <f t="shared" si="8"/>
        <v>303024</v>
      </c>
      <c r="R17" s="152" t="s">
        <v>66</v>
      </c>
      <c r="S17" s="159" t="s">
        <v>0</v>
      </c>
      <c r="T17" s="140">
        <f t="shared" si="9"/>
        <v>80496</v>
      </c>
      <c r="U17" s="140">
        <f t="shared" si="10"/>
        <v>105792</v>
      </c>
      <c r="V17" s="141">
        <f t="shared" si="11"/>
        <v>116736</v>
      </c>
      <c r="W17" s="141">
        <f t="shared" si="12"/>
        <v>303024</v>
      </c>
      <c r="X17" s="283">
        <f t="shared" si="6"/>
        <v>0</v>
      </c>
    </row>
    <row r="18" spans="1:25" x14ac:dyDescent="0.25">
      <c r="B18" s="96" t="s">
        <v>139</v>
      </c>
      <c r="C18" s="106" t="s">
        <v>0</v>
      </c>
      <c r="D18" s="354">
        <f>Штат!H18</f>
        <v>2808</v>
      </c>
      <c r="E18" s="355">
        <f>Штат!I18</f>
        <v>7113.5999999999995</v>
      </c>
      <c r="F18" s="355">
        <f>Штат!J18</f>
        <v>7113.5999999999995</v>
      </c>
      <c r="G18" s="356">
        <f>Штат!K18</f>
        <v>7113.5999999999995</v>
      </c>
      <c r="H18" s="354">
        <f>Штат!L18</f>
        <v>7113.5999999999995</v>
      </c>
      <c r="I18" s="355">
        <f>Штат!M18</f>
        <v>7113.5999999999995</v>
      </c>
      <c r="J18" s="355">
        <f>Штат!N18</f>
        <v>8755.1999999999989</v>
      </c>
      <c r="K18" s="356">
        <f>Штат!O18</f>
        <v>8755.1999999999989</v>
      </c>
      <c r="L18" s="354">
        <f>Штат!P18</f>
        <v>8755.1999999999989</v>
      </c>
      <c r="M18" s="355">
        <f>Штат!Q18</f>
        <v>8755.1999999999989</v>
      </c>
      <c r="N18" s="355">
        <f>Штат!R18</f>
        <v>8755.1999999999989</v>
      </c>
      <c r="O18" s="357">
        <f>Штат!S18</f>
        <v>8755.1999999999989</v>
      </c>
      <c r="P18" s="358">
        <f t="shared" si="8"/>
        <v>90907.199999999983</v>
      </c>
      <c r="R18" s="151" t="s">
        <v>67</v>
      </c>
      <c r="S18" s="158" t="s">
        <v>0</v>
      </c>
      <c r="T18" s="140">
        <f t="shared" si="9"/>
        <v>24148.799999999996</v>
      </c>
      <c r="U18" s="140">
        <f t="shared" si="10"/>
        <v>31737.599999999999</v>
      </c>
      <c r="V18" s="141">
        <f t="shared" si="11"/>
        <v>35020.799999999996</v>
      </c>
      <c r="W18" s="141">
        <f t="shared" si="12"/>
        <v>90907.199999999983</v>
      </c>
      <c r="X18" s="283">
        <f t="shared" si="6"/>
        <v>0</v>
      </c>
    </row>
    <row r="19" spans="1:25" x14ac:dyDescent="0.25">
      <c r="A19" s="471"/>
      <c r="B19" s="96" t="s">
        <v>71</v>
      </c>
      <c r="C19" s="106" t="s">
        <v>0</v>
      </c>
      <c r="D19" s="359">
        <v>240</v>
      </c>
      <c r="E19" s="359">
        <v>450</v>
      </c>
      <c r="F19" s="359">
        <v>450</v>
      </c>
      <c r="G19" s="359">
        <v>450</v>
      </c>
      <c r="H19" s="359">
        <v>450</v>
      </c>
      <c r="I19" s="359">
        <v>450</v>
      </c>
      <c r="J19" s="359">
        <v>450</v>
      </c>
      <c r="K19" s="359">
        <v>450</v>
      </c>
      <c r="L19" s="359">
        <v>450</v>
      </c>
      <c r="M19" s="359">
        <v>450</v>
      </c>
      <c r="N19" s="359">
        <v>450</v>
      </c>
      <c r="O19" s="359">
        <v>450</v>
      </c>
      <c r="P19" s="143">
        <f t="shared" si="8"/>
        <v>5190</v>
      </c>
      <c r="R19" s="151" t="s">
        <v>71</v>
      </c>
      <c r="S19" s="158" t="s">
        <v>0</v>
      </c>
      <c r="T19" s="142">
        <f t="shared" si="9"/>
        <v>1590</v>
      </c>
      <c r="U19" s="142">
        <f t="shared" si="10"/>
        <v>1800</v>
      </c>
      <c r="V19" s="143">
        <f t="shared" si="11"/>
        <v>1800</v>
      </c>
      <c r="W19" s="143">
        <f t="shared" si="12"/>
        <v>5190</v>
      </c>
      <c r="X19" s="283">
        <f t="shared" si="6"/>
        <v>0</v>
      </c>
    </row>
    <row r="20" spans="1:25" x14ac:dyDescent="0.25">
      <c r="A20" s="471" t="s">
        <v>184</v>
      </c>
      <c r="B20" s="57" t="s">
        <v>59</v>
      </c>
      <c r="C20" s="107" t="s">
        <v>0</v>
      </c>
      <c r="D20" s="361">
        <v>14500</v>
      </c>
      <c r="E20" s="361">
        <v>14500</v>
      </c>
      <c r="F20" s="361">
        <v>14500</v>
      </c>
      <c r="G20" s="361">
        <v>14500</v>
      </c>
      <c r="H20" s="361">
        <v>14500</v>
      </c>
      <c r="I20" s="361">
        <v>14500</v>
      </c>
      <c r="J20" s="361">
        <v>14500</v>
      </c>
      <c r="K20" s="361">
        <v>14500</v>
      </c>
      <c r="L20" s="361">
        <v>14500</v>
      </c>
      <c r="M20" s="361">
        <v>14500</v>
      </c>
      <c r="N20" s="361">
        <v>14500</v>
      </c>
      <c r="O20" s="361">
        <v>14500</v>
      </c>
      <c r="P20" s="136">
        <f t="shared" si="8"/>
        <v>174000</v>
      </c>
      <c r="R20" s="153" t="s">
        <v>59</v>
      </c>
      <c r="S20" s="156" t="s">
        <v>0</v>
      </c>
      <c r="T20" s="137">
        <f t="shared" si="9"/>
        <v>58000</v>
      </c>
      <c r="U20" s="137">
        <f t="shared" si="10"/>
        <v>58000</v>
      </c>
      <c r="V20" s="136">
        <f t="shared" si="11"/>
        <v>58000</v>
      </c>
      <c r="W20" s="136">
        <f t="shared" si="12"/>
        <v>174000</v>
      </c>
      <c r="X20" s="283">
        <f t="shared" si="6"/>
        <v>0</v>
      </c>
    </row>
    <row r="21" spans="1:25" s="88" customFormat="1" x14ac:dyDescent="0.25">
      <c r="B21" s="57" t="s">
        <v>114</v>
      </c>
      <c r="C21" s="107" t="s">
        <v>0</v>
      </c>
      <c r="D21" s="200">
        <f t="shared" ref="D21:O21" si="22">D6-D10</f>
        <v>156798.77599999998</v>
      </c>
      <c r="E21" s="201">
        <f t="shared" si="22"/>
        <v>505895.84832799999</v>
      </c>
      <c r="F21" s="201">
        <f t="shared" si="22"/>
        <v>506447.51977632788</v>
      </c>
      <c r="G21" s="202">
        <f t="shared" si="22"/>
        <v>506999.74289610417</v>
      </c>
      <c r="H21" s="200">
        <f t="shared" si="22"/>
        <v>741125.76816952601</v>
      </c>
      <c r="I21" s="201">
        <f t="shared" si="22"/>
        <v>741912.66953769536</v>
      </c>
      <c r="J21" s="201">
        <f t="shared" si="22"/>
        <v>735586.75780723302</v>
      </c>
      <c r="K21" s="202">
        <f t="shared" si="22"/>
        <v>736375.23376504006</v>
      </c>
      <c r="L21" s="200">
        <f t="shared" si="22"/>
        <v>737164.49819880503</v>
      </c>
      <c r="M21" s="201">
        <f t="shared" si="22"/>
        <v>737954.55189700378</v>
      </c>
      <c r="N21" s="201">
        <f t="shared" si="22"/>
        <v>738745.39564890077</v>
      </c>
      <c r="O21" s="173">
        <f t="shared" si="22"/>
        <v>739537.03024454962</v>
      </c>
      <c r="P21" s="136">
        <f t="shared" si="8"/>
        <v>7584543.7922691852</v>
      </c>
      <c r="R21" s="153" t="s">
        <v>114</v>
      </c>
      <c r="S21" s="160" t="s">
        <v>0</v>
      </c>
      <c r="T21" s="137">
        <f t="shared" si="9"/>
        <v>1676141.8870004322</v>
      </c>
      <c r="U21" s="137">
        <f t="shared" si="10"/>
        <v>2955000.4292794946</v>
      </c>
      <c r="V21" s="136">
        <f t="shared" si="11"/>
        <v>2953401.4759892593</v>
      </c>
      <c r="W21" s="136">
        <f t="shared" si="12"/>
        <v>7584543.792269187</v>
      </c>
      <c r="X21" s="283">
        <f t="shared" si="6"/>
        <v>0</v>
      </c>
      <c r="Y21" s="87"/>
    </row>
    <row r="22" spans="1:25" x14ac:dyDescent="0.25">
      <c r="B22" s="57" t="s">
        <v>78</v>
      </c>
      <c r="C22" s="107" t="s">
        <v>0</v>
      </c>
      <c r="D22" s="200">
        <f>SUM(D23:D26)</f>
        <v>5390</v>
      </c>
      <c r="E22" s="201">
        <f t="shared" ref="E22:O22" si="23">SUM(E23:E26)</f>
        <v>7180.2</v>
      </c>
      <c r="F22" s="201">
        <f t="shared" si="23"/>
        <v>7180.2</v>
      </c>
      <c r="G22" s="202">
        <f t="shared" si="23"/>
        <v>7180.2</v>
      </c>
      <c r="H22" s="200">
        <f t="shared" si="23"/>
        <v>8047.7</v>
      </c>
      <c r="I22" s="201">
        <f t="shared" si="23"/>
        <v>8047.7</v>
      </c>
      <c r="J22" s="201">
        <f t="shared" si="23"/>
        <v>9030.5</v>
      </c>
      <c r="K22" s="202">
        <f t="shared" si="23"/>
        <v>9030.5</v>
      </c>
      <c r="L22" s="200">
        <f t="shared" si="23"/>
        <v>9898</v>
      </c>
      <c r="M22" s="201">
        <f t="shared" si="23"/>
        <v>9898</v>
      </c>
      <c r="N22" s="201">
        <f t="shared" si="23"/>
        <v>9898</v>
      </c>
      <c r="O22" s="173">
        <f t="shared" si="23"/>
        <v>9898</v>
      </c>
      <c r="P22" s="145">
        <f t="shared" si="8"/>
        <v>100679</v>
      </c>
      <c r="R22" s="153" t="s">
        <v>78</v>
      </c>
      <c r="S22" s="160" t="s">
        <v>0</v>
      </c>
      <c r="T22" s="144">
        <f t="shared" si="9"/>
        <v>26930.600000000002</v>
      </c>
      <c r="U22" s="144">
        <f t="shared" si="10"/>
        <v>34156.400000000001</v>
      </c>
      <c r="V22" s="145">
        <f t="shared" si="11"/>
        <v>39592</v>
      </c>
      <c r="W22" s="145">
        <f t="shared" si="12"/>
        <v>100679</v>
      </c>
      <c r="X22" s="283">
        <f t="shared" si="6"/>
        <v>0</v>
      </c>
    </row>
    <row r="23" spans="1:25" x14ac:dyDescent="0.25">
      <c r="B23" s="66" t="s">
        <v>140</v>
      </c>
      <c r="C23" s="233" t="s">
        <v>0</v>
      </c>
      <c r="D23" s="366">
        <f>Штат!H15</f>
        <v>2850</v>
      </c>
      <c r="E23" s="367">
        <f>Штат!I15</f>
        <v>4104</v>
      </c>
      <c r="F23" s="367">
        <f>Штат!J15</f>
        <v>4104</v>
      </c>
      <c r="G23" s="368">
        <f>Штат!K15</f>
        <v>4104</v>
      </c>
      <c r="H23" s="366">
        <f>Штат!L15</f>
        <v>4104</v>
      </c>
      <c r="I23" s="367">
        <f>Штат!M15</f>
        <v>4104</v>
      </c>
      <c r="J23" s="367">
        <f>Штат!N15</f>
        <v>4860</v>
      </c>
      <c r="K23" s="368">
        <f>Штат!O15</f>
        <v>4860</v>
      </c>
      <c r="L23" s="366">
        <f>Штат!P15</f>
        <v>4860</v>
      </c>
      <c r="M23" s="367">
        <f>Штат!Q15</f>
        <v>4860</v>
      </c>
      <c r="N23" s="367">
        <f>Штат!R15</f>
        <v>4860</v>
      </c>
      <c r="O23" s="369">
        <f>Штат!S15</f>
        <v>4860</v>
      </c>
      <c r="P23" s="147">
        <f t="shared" si="8"/>
        <v>52530</v>
      </c>
      <c r="R23" s="154" t="s">
        <v>68</v>
      </c>
      <c r="S23" s="161" t="s">
        <v>0</v>
      </c>
      <c r="T23" s="146">
        <f t="shared" si="9"/>
        <v>15162</v>
      </c>
      <c r="U23" s="146">
        <f t="shared" si="10"/>
        <v>17928</v>
      </c>
      <c r="V23" s="147">
        <f t="shared" si="11"/>
        <v>19440</v>
      </c>
      <c r="W23" s="147">
        <f t="shared" si="12"/>
        <v>52530</v>
      </c>
      <c r="X23" s="283">
        <f t="shared" si="6"/>
        <v>0</v>
      </c>
    </row>
    <row r="24" spans="1:25" x14ac:dyDescent="0.25">
      <c r="B24" s="96" t="s">
        <v>141</v>
      </c>
      <c r="C24" s="106" t="s">
        <v>0</v>
      </c>
      <c r="D24" s="350">
        <f>Штат!H19</f>
        <v>855</v>
      </c>
      <c r="E24" s="351">
        <f>Штат!I19</f>
        <v>1231.2</v>
      </c>
      <c r="F24" s="351">
        <f>Штат!J19</f>
        <v>1231.2</v>
      </c>
      <c r="G24" s="352">
        <f>Штат!K19</f>
        <v>1231.2</v>
      </c>
      <c r="H24" s="350">
        <f>Штат!L19</f>
        <v>1231.2</v>
      </c>
      <c r="I24" s="351">
        <f>Штат!M19</f>
        <v>1231.2</v>
      </c>
      <c r="J24" s="351">
        <f>Штат!N19</f>
        <v>1458</v>
      </c>
      <c r="K24" s="352">
        <f>Штат!O19</f>
        <v>1458</v>
      </c>
      <c r="L24" s="350">
        <f>Штат!P19</f>
        <v>1458</v>
      </c>
      <c r="M24" s="351">
        <f>Штат!Q19</f>
        <v>1458</v>
      </c>
      <c r="N24" s="351">
        <f>Штат!R19</f>
        <v>1458</v>
      </c>
      <c r="O24" s="353">
        <f>Штат!S19</f>
        <v>1458</v>
      </c>
      <c r="P24" s="141">
        <f t="shared" si="8"/>
        <v>15759</v>
      </c>
      <c r="R24" s="151" t="s">
        <v>69</v>
      </c>
      <c r="S24" s="158" t="s">
        <v>0</v>
      </c>
      <c r="T24" s="140">
        <f t="shared" si="9"/>
        <v>4548.5999999999995</v>
      </c>
      <c r="U24" s="140">
        <f t="shared" si="10"/>
        <v>5378.4</v>
      </c>
      <c r="V24" s="141">
        <f t="shared" si="11"/>
        <v>5832</v>
      </c>
      <c r="W24" s="141">
        <f t="shared" si="12"/>
        <v>15759</v>
      </c>
      <c r="X24" s="283">
        <f t="shared" si="6"/>
        <v>0</v>
      </c>
    </row>
    <row r="25" spans="1:25" x14ac:dyDescent="0.25">
      <c r="A25" s="471"/>
      <c r="B25" s="96" t="s">
        <v>1</v>
      </c>
      <c r="C25" s="106" t="s">
        <v>0</v>
      </c>
      <c r="D25" s="359">
        <v>120</v>
      </c>
      <c r="E25" s="360">
        <v>280</v>
      </c>
      <c r="F25" s="360">
        <v>280</v>
      </c>
      <c r="G25" s="360">
        <v>280</v>
      </c>
      <c r="H25" s="360">
        <v>280</v>
      </c>
      <c r="I25" s="360">
        <v>280</v>
      </c>
      <c r="J25" s="360">
        <v>280</v>
      </c>
      <c r="K25" s="360">
        <v>280</v>
      </c>
      <c r="L25" s="360">
        <v>280</v>
      </c>
      <c r="M25" s="360">
        <v>280</v>
      </c>
      <c r="N25" s="360">
        <v>280</v>
      </c>
      <c r="O25" s="360">
        <v>280</v>
      </c>
      <c r="P25" s="143">
        <f t="shared" si="8"/>
        <v>3200</v>
      </c>
      <c r="R25" s="151" t="s">
        <v>1</v>
      </c>
      <c r="S25" s="158" t="s">
        <v>0</v>
      </c>
      <c r="T25" s="140">
        <f t="shared" si="9"/>
        <v>960</v>
      </c>
      <c r="U25" s="140">
        <f t="shared" si="10"/>
        <v>1120</v>
      </c>
      <c r="V25" s="141">
        <f t="shared" si="11"/>
        <v>1120</v>
      </c>
      <c r="W25" s="141">
        <f t="shared" si="12"/>
        <v>3200</v>
      </c>
      <c r="X25" s="283">
        <f t="shared" si="6"/>
        <v>0</v>
      </c>
    </row>
    <row r="26" spans="1:25" x14ac:dyDescent="0.25">
      <c r="B26" s="96" t="s">
        <v>10</v>
      </c>
      <c r="C26" s="106" t="s">
        <v>0</v>
      </c>
      <c r="D26" s="350">
        <f>Инвестиции!C64</f>
        <v>1565</v>
      </c>
      <c r="E26" s="351">
        <f>Инвестиции!D64</f>
        <v>1565</v>
      </c>
      <c r="F26" s="351">
        <f>Инвестиции!E64</f>
        <v>1565</v>
      </c>
      <c r="G26" s="352">
        <f>Инвестиции!F64</f>
        <v>1565</v>
      </c>
      <c r="H26" s="350">
        <f>Инвестиции!G64</f>
        <v>2432.5</v>
      </c>
      <c r="I26" s="351">
        <f>Инвестиции!H64</f>
        <v>2432.5</v>
      </c>
      <c r="J26" s="351">
        <f>Инвестиции!I64</f>
        <v>2432.5</v>
      </c>
      <c r="K26" s="352">
        <f>Инвестиции!J64</f>
        <v>2432.5</v>
      </c>
      <c r="L26" s="350">
        <f>Инвестиции!K64</f>
        <v>3300</v>
      </c>
      <c r="M26" s="351">
        <f>Инвестиции!L64</f>
        <v>3300</v>
      </c>
      <c r="N26" s="351">
        <f>Инвестиции!M64</f>
        <v>3300</v>
      </c>
      <c r="O26" s="353">
        <f>Инвестиции!N64</f>
        <v>3300</v>
      </c>
      <c r="P26" s="141">
        <f t="shared" si="8"/>
        <v>29190</v>
      </c>
      <c r="R26" s="151" t="s">
        <v>10</v>
      </c>
      <c r="S26" s="158" t="s">
        <v>0</v>
      </c>
      <c r="T26" s="140">
        <f t="shared" si="9"/>
        <v>6260</v>
      </c>
      <c r="U26" s="140">
        <f t="shared" si="10"/>
        <v>9730</v>
      </c>
      <c r="V26" s="141">
        <f t="shared" si="11"/>
        <v>13200</v>
      </c>
      <c r="W26" s="141">
        <f t="shared" si="12"/>
        <v>29190</v>
      </c>
      <c r="X26" s="283">
        <f t="shared" si="6"/>
        <v>0</v>
      </c>
    </row>
    <row r="27" spans="1:25" x14ac:dyDescent="0.25">
      <c r="B27" s="57" t="s">
        <v>2</v>
      </c>
      <c r="C27" s="107" t="s">
        <v>0</v>
      </c>
      <c r="D27" s="362"/>
      <c r="E27" s="363"/>
      <c r="F27" s="363"/>
      <c r="G27" s="364"/>
      <c r="H27" s="362"/>
      <c r="I27" s="363"/>
      <c r="J27" s="363"/>
      <c r="K27" s="364"/>
      <c r="L27" s="362"/>
      <c r="M27" s="363"/>
      <c r="N27" s="363"/>
      <c r="O27" s="365"/>
      <c r="P27" s="136">
        <f t="shared" si="8"/>
        <v>0</v>
      </c>
      <c r="R27" s="153" t="s">
        <v>2</v>
      </c>
      <c r="S27" s="156" t="s">
        <v>0</v>
      </c>
      <c r="T27" s="137">
        <f t="shared" si="9"/>
        <v>0</v>
      </c>
      <c r="U27" s="137">
        <f t="shared" si="10"/>
        <v>0</v>
      </c>
      <c r="V27" s="136">
        <f t="shared" si="11"/>
        <v>0</v>
      </c>
      <c r="W27" s="136">
        <f t="shared" si="12"/>
        <v>0</v>
      </c>
      <c r="X27" s="283">
        <f t="shared" si="6"/>
        <v>0</v>
      </c>
    </row>
    <row r="28" spans="1:25" x14ac:dyDescent="0.25">
      <c r="B28" s="55" t="s">
        <v>3</v>
      </c>
      <c r="C28" s="107" t="s">
        <v>0</v>
      </c>
      <c r="D28" s="225">
        <f>D21-D22-D27</f>
        <v>151408.77599999998</v>
      </c>
      <c r="E28" s="226">
        <f t="shared" ref="E28:O28" si="24">E21-E22-E27</f>
        <v>498715.64832799998</v>
      </c>
      <c r="F28" s="226">
        <f t="shared" si="24"/>
        <v>499267.31977632787</v>
      </c>
      <c r="G28" s="227">
        <f t="shared" si="24"/>
        <v>499819.54289610416</v>
      </c>
      <c r="H28" s="225">
        <f t="shared" si="24"/>
        <v>733078.06816952606</v>
      </c>
      <c r="I28" s="226">
        <f t="shared" si="24"/>
        <v>733864.9695376954</v>
      </c>
      <c r="J28" s="226">
        <f t="shared" si="24"/>
        <v>726556.25780723302</v>
      </c>
      <c r="K28" s="227">
        <f t="shared" si="24"/>
        <v>727344.73376504006</v>
      </c>
      <c r="L28" s="225">
        <f t="shared" si="24"/>
        <v>727266.49819880503</v>
      </c>
      <c r="M28" s="226">
        <f t="shared" si="24"/>
        <v>728056.55189700378</v>
      </c>
      <c r="N28" s="226">
        <f t="shared" si="24"/>
        <v>728847.39564890077</v>
      </c>
      <c r="O28" s="228">
        <f t="shared" si="24"/>
        <v>729639.03024454962</v>
      </c>
      <c r="P28" s="136">
        <f t="shared" si="8"/>
        <v>7483864.792269187</v>
      </c>
      <c r="R28" s="150" t="s">
        <v>3</v>
      </c>
      <c r="S28" s="156" t="s">
        <v>0</v>
      </c>
      <c r="T28" s="137">
        <f t="shared" si="9"/>
        <v>1649211.2870004321</v>
      </c>
      <c r="U28" s="137">
        <f t="shared" si="10"/>
        <v>2920844.0292794947</v>
      </c>
      <c r="V28" s="136">
        <f t="shared" si="11"/>
        <v>2913809.4759892593</v>
      </c>
      <c r="W28" s="136">
        <f t="shared" si="12"/>
        <v>7483864.792269187</v>
      </c>
      <c r="X28" s="283">
        <f t="shared" si="6"/>
        <v>0</v>
      </c>
    </row>
    <row r="29" spans="1:25" x14ac:dyDescent="0.25">
      <c r="B29" s="55" t="s">
        <v>13</v>
      </c>
      <c r="C29" s="107" t="s">
        <v>0</v>
      </c>
      <c r="D29" s="225">
        <f>D49</f>
        <v>30281.7552</v>
      </c>
      <c r="E29" s="226">
        <f t="shared" ref="E29:O29" si="25">E49</f>
        <v>99743.129665600005</v>
      </c>
      <c r="F29" s="226">
        <f t="shared" si="25"/>
        <v>99853.463955265586</v>
      </c>
      <c r="G29" s="227">
        <f t="shared" si="25"/>
        <v>99963.908579220835</v>
      </c>
      <c r="H29" s="225">
        <f t="shared" si="25"/>
        <v>146615.61363390522</v>
      </c>
      <c r="I29" s="226">
        <f t="shared" si="25"/>
        <v>146772.99390753909</v>
      </c>
      <c r="J29" s="226">
        <f t="shared" si="25"/>
        <v>145311.25156144661</v>
      </c>
      <c r="K29" s="227">
        <f t="shared" si="25"/>
        <v>145468.94675300803</v>
      </c>
      <c r="L29" s="225">
        <f t="shared" si="25"/>
        <v>145453.29963976101</v>
      </c>
      <c r="M29" s="226">
        <f t="shared" si="25"/>
        <v>145611.31037940076</v>
      </c>
      <c r="N29" s="226">
        <f t="shared" si="25"/>
        <v>145769.47912978017</v>
      </c>
      <c r="O29" s="228">
        <f t="shared" si="25"/>
        <v>145927.80604890993</v>
      </c>
      <c r="P29" s="136">
        <f t="shared" si="8"/>
        <v>1496772.9584538373</v>
      </c>
      <c r="R29" s="150" t="s">
        <v>13</v>
      </c>
      <c r="S29" s="156" t="s">
        <v>0</v>
      </c>
      <c r="T29" s="137">
        <f t="shared" si="9"/>
        <v>329842.25740008644</v>
      </c>
      <c r="U29" s="137">
        <f t="shared" si="10"/>
        <v>584168.805855899</v>
      </c>
      <c r="V29" s="136">
        <f t="shared" si="11"/>
        <v>582761.89519785182</v>
      </c>
      <c r="W29" s="136">
        <f t="shared" si="12"/>
        <v>1496772.9584538373</v>
      </c>
      <c r="X29" s="283">
        <f t="shared" si="6"/>
        <v>0</v>
      </c>
    </row>
    <row r="30" spans="1:25" ht="15.75" thickBot="1" x14ac:dyDescent="0.3">
      <c r="B30" s="58" t="s">
        <v>4</v>
      </c>
      <c r="C30" s="108" t="s">
        <v>0</v>
      </c>
      <c r="D30" s="203">
        <f>D28-D29</f>
        <v>121127.02079999998</v>
      </c>
      <c r="E30" s="204">
        <f t="shared" ref="E30:O30" si="26">E28-E29</f>
        <v>398972.51866239996</v>
      </c>
      <c r="F30" s="204">
        <f t="shared" si="26"/>
        <v>399413.85582106229</v>
      </c>
      <c r="G30" s="205">
        <f t="shared" si="26"/>
        <v>399855.63431688334</v>
      </c>
      <c r="H30" s="203">
        <f t="shared" si="26"/>
        <v>586462.45453562087</v>
      </c>
      <c r="I30" s="204">
        <f t="shared" si="26"/>
        <v>587091.97563015635</v>
      </c>
      <c r="J30" s="204">
        <f t="shared" si="26"/>
        <v>581245.00624578644</v>
      </c>
      <c r="K30" s="205">
        <f t="shared" si="26"/>
        <v>581875.787012032</v>
      </c>
      <c r="L30" s="203">
        <f t="shared" si="26"/>
        <v>581813.19855904405</v>
      </c>
      <c r="M30" s="204">
        <f t="shared" si="26"/>
        <v>582445.24151760305</v>
      </c>
      <c r="N30" s="204">
        <f t="shared" si="26"/>
        <v>583077.91651912057</v>
      </c>
      <c r="O30" s="113">
        <f t="shared" si="26"/>
        <v>583711.22419563972</v>
      </c>
      <c r="P30" s="149">
        <f t="shared" si="8"/>
        <v>5987091.8338153483</v>
      </c>
      <c r="R30" s="155" t="s">
        <v>4</v>
      </c>
      <c r="S30" s="162" t="s">
        <v>0</v>
      </c>
      <c r="T30" s="148">
        <f t="shared" si="9"/>
        <v>1319369.0296003455</v>
      </c>
      <c r="U30" s="148">
        <f t="shared" si="10"/>
        <v>2336675.2234235955</v>
      </c>
      <c r="V30" s="149">
        <f t="shared" si="11"/>
        <v>2331047.5807914073</v>
      </c>
      <c r="W30" s="149">
        <f t="shared" si="12"/>
        <v>5987091.8338153483</v>
      </c>
      <c r="X30" s="283">
        <f t="shared" si="6"/>
        <v>0</v>
      </c>
    </row>
    <row r="31" spans="1:25" ht="25.5" thickBot="1" x14ac:dyDescent="0.3">
      <c r="B31" s="427" t="s">
        <v>136</v>
      </c>
      <c r="D31" s="63">
        <v>0.01</v>
      </c>
      <c r="E31" s="63">
        <v>0.01</v>
      </c>
      <c r="F31" s="63">
        <v>0.01</v>
      </c>
      <c r="G31" s="63">
        <v>0.01</v>
      </c>
      <c r="H31" s="63">
        <v>0.01</v>
      </c>
      <c r="I31" s="63">
        <v>0.01</v>
      </c>
      <c r="J31" s="63">
        <v>0.01</v>
      </c>
      <c r="K31" s="63">
        <v>0.01</v>
      </c>
      <c r="L31" s="63">
        <v>0.01</v>
      </c>
      <c r="M31" s="63">
        <v>0.01</v>
      </c>
      <c r="N31" s="63">
        <v>0.01</v>
      </c>
      <c r="O31" s="63">
        <v>0.01</v>
      </c>
      <c r="P31" s="63"/>
      <c r="R31" s="389" t="s">
        <v>118</v>
      </c>
      <c r="S31" s="390" t="s">
        <v>62</v>
      </c>
      <c r="T31" s="391">
        <f>IFERROR(T30/T6,0)</f>
        <v>0.70973260448828723</v>
      </c>
      <c r="U31" s="391">
        <f>IFERROR(U30/U6,0)</f>
        <v>0.73384082558072006</v>
      </c>
      <c r="V31" s="392">
        <f>IFERROR(V30/V6,0)</f>
        <v>0.72915245755085756</v>
      </c>
      <c r="W31" s="392">
        <f>IFERROR(W30/W6,0)</f>
        <v>0.72658302603677327</v>
      </c>
    </row>
    <row r="32" spans="1:25" s="88" customFormat="1" ht="24.75" x14ac:dyDescent="0.25">
      <c r="B32" s="450" t="s">
        <v>133</v>
      </c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T32" s="63"/>
      <c r="U32" s="63"/>
      <c r="V32" s="63"/>
      <c r="X32" s="87"/>
      <c r="Y32" s="87"/>
    </row>
    <row r="33" spans="2:26" s="88" customFormat="1" x14ac:dyDescent="0.25">
      <c r="B33" s="427" t="s">
        <v>127</v>
      </c>
      <c r="C33" s="88" t="s">
        <v>62</v>
      </c>
      <c r="D33" s="447">
        <v>0</v>
      </c>
      <c r="E33" s="447">
        <v>0</v>
      </c>
      <c r="F33" s="447">
        <v>0</v>
      </c>
      <c r="G33" s="447">
        <v>0</v>
      </c>
      <c r="H33" s="447">
        <v>0</v>
      </c>
      <c r="I33" s="447">
        <v>0</v>
      </c>
      <c r="J33" s="447">
        <v>0</v>
      </c>
      <c r="K33" s="447">
        <v>0</v>
      </c>
      <c r="L33" s="447">
        <v>0</v>
      </c>
      <c r="M33" s="447">
        <v>0</v>
      </c>
      <c r="N33" s="447">
        <v>0</v>
      </c>
      <c r="O33" s="447">
        <v>0</v>
      </c>
      <c r="P33" s="63"/>
      <c r="T33" s="63"/>
      <c r="U33" s="63"/>
      <c r="V33" s="63"/>
      <c r="X33" s="87"/>
      <c r="Y33" s="87"/>
    </row>
    <row r="34" spans="2:26" s="88" customFormat="1" x14ac:dyDescent="0.25">
      <c r="B34" s="427" t="s">
        <v>128</v>
      </c>
      <c r="C34" s="88" t="s">
        <v>62</v>
      </c>
      <c r="D34" s="447">
        <v>0</v>
      </c>
      <c r="E34" s="447">
        <v>0</v>
      </c>
      <c r="F34" s="447">
        <v>0</v>
      </c>
      <c r="G34" s="447">
        <v>0</v>
      </c>
      <c r="H34" s="447">
        <v>0</v>
      </c>
      <c r="I34" s="447">
        <v>0</v>
      </c>
      <c r="J34" s="447">
        <v>0</v>
      </c>
      <c r="K34" s="447">
        <v>0</v>
      </c>
      <c r="L34" s="447">
        <v>0</v>
      </c>
      <c r="M34" s="447">
        <v>0</v>
      </c>
      <c r="N34" s="447">
        <v>0</v>
      </c>
      <c r="O34" s="447">
        <v>0</v>
      </c>
      <c r="P34" s="63"/>
      <c r="T34" s="63"/>
      <c r="U34" s="63"/>
      <c r="V34" s="63"/>
      <c r="X34" s="87"/>
      <c r="Y34" s="87"/>
    </row>
    <row r="35" spans="2:26" s="88" customFormat="1" x14ac:dyDescent="0.25">
      <c r="B35" s="427" t="s">
        <v>129</v>
      </c>
      <c r="C35" s="88" t="s">
        <v>62</v>
      </c>
      <c r="D35" s="447">
        <v>0</v>
      </c>
      <c r="E35" s="447">
        <v>0</v>
      </c>
      <c r="F35" s="447">
        <v>0</v>
      </c>
      <c r="G35" s="447">
        <v>0</v>
      </c>
      <c r="H35" s="447">
        <v>0</v>
      </c>
      <c r="I35" s="447">
        <v>0</v>
      </c>
      <c r="J35" s="447">
        <v>0</v>
      </c>
      <c r="K35" s="447">
        <v>0</v>
      </c>
      <c r="L35" s="447">
        <v>0</v>
      </c>
      <c r="M35" s="447">
        <v>0</v>
      </c>
      <c r="N35" s="447">
        <v>0</v>
      </c>
      <c r="O35" s="447">
        <v>0</v>
      </c>
      <c r="P35" s="63"/>
      <c r="T35" s="63"/>
      <c r="U35" s="63"/>
      <c r="V35" s="63"/>
      <c r="X35" s="87"/>
      <c r="Y35" s="87"/>
    </row>
    <row r="36" spans="2:26" s="88" customFormat="1" x14ac:dyDescent="0.25">
      <c r="B36" s="427"/>
      <c r="P36" s="63"/>
      <c r="T36" s="63"/>
      <c r="U36" s="63"/>
      <c r="V36" s="63"/>
      <c r="X36" s="87"/>
      <c r="Y36" s="87"/>
    </row>
    <row r="37" spans="2:26" ht="15.75" thickBot="1" x14ac:dyDescent="0.3">
      <c r="D37" s="73"/>
      <c r="E37" s="73"/>
      <c r="F37" s="73"/>
      <c r="G37" s="73"/>
      <c r="H37" s="73"/>
      <c r="I37" s="73"/>
      <c r="J37" s="73"/>
      <c r="K37" s="73"/>
      <c r="L37" s="73"/>
      <c r="M37" s="73"/>
      <c r="N37" s="73"/>
      <c r="O37" s="73"/>
      <c r="P37" s="282"/>
      <c r="T37" s="73"/>
      <c r="U37" s="73"/>
      <c r="V37" s="73"/>
    </row>
    <row r="38" spans="2:26" s="88" customFormat="1" ht="15.75" thickBot="1" x14ac:dyDescent="0.3">
      <c r="B38" s="488" t="s">
        <v>41</v>
      </c>
      <c r="C38" s="490" t="s">
        <v>29</v>
      </c>
      <c r="D38" s="492" t="s">
        <v>81</v>
      </c>
      <c r="E38" s="492"/>
      <c r="F38" s="492"/>
      <c r="G38" s="493"/>
      <c r="H38" s="492" t="s">
        <v>82</v>
      </c>
      <c r="I38" s="492"/>
      <c r="J38" s="492"/>
      <c r="K38" s="493"/>
      <c r="L38" s="492" t="s">
        <v>83</v>
      </c>
      <c r="M38" s="492"/>
      <c r="N38" s="492"/>
      <c r="O38" s="493"/>
      <c r="R38" s="488" t="s">
        <v>41</v>
      </c>
      <c r="S38" s="490" t="s">
        <v>11</v>
      </c>
      <c r="T38" s="499" t="s">
        <v>113</v>
      </c>
      <c r="U38" s="501" t="s">
        <v>82</v>
      </c>
      <c r="V38" s="503" t="s">
        <v>83</v>
      </c>
      <c r="W38" s="503" t="s">
        <v>9</v>
      </c>
      <c r="X38" s="87"/>
      <c r="Y38" s="87"/>
    </row>
    <row r="39" spans="2:26" ht="15.75" thickBot="1" x14ac:dyDescent="0.3">
      <c r="B39" s="489"/>
      <c r="C39" s="491"/>
      <c r="D39" s="259" t="s">
        <v>112</v>
      </c>
      <c r="E39" s="260" t="s">
        <v>99</v>
      </c>
      <c r="F39" s="260" t="s">
        <v>100</v>
      </c>
      <c r="G39" s="261" t="s">
        <v>101</v>
      </c>
      <c r="H39" s="259" t="s">
        <v>102</v>
      </c>
      <c r="I39" s="260" t="s">
        <v>103</v>
      </c>
      <c r="J39" s="260" t="s">
        <v>104</v>
      </c>
      <c r="K39" s="261" t="s">
        <v>105</v>
      </c>
      <c r="L39" s="259" t="s">
        <v>106</v>
      </c>
      <c r="M39" s="262" t="s">
        <v>107</v>
      </c>
      <c r="N39" s="260" t="s">
        <v>108</v>
      </c>
      <c r="O39" s="261" t="s">
        <v>109</v>
      </c>
      <c r="R39" s="489"/>
      <c r="S39" s="491"/>
      <c r="T39" s="500"/>
      <c r="U39" s="502"/>
      <c r="V39" s="504"/>
      <c r="W39" s="504"/>
    </row>
    <row r="40" spans="2:26" x14ac:dyDescent="0.25">
      <c r="B40" s="59" t="s">
        <v>42</v>
      </c>
      <c r="C40" s="18" t="s">
        <v>0</v>
      </c>
      <c r="D40" s="170">
        <f t="shared" ref="D40:O40" si="27">IF(D28&lt;0,D28,0)</f>
        <v>0</v>
      </c>
      <c r="E40" s="17">
        <f t="shared" si="27"/>
        <v>0</v>
      </c>
      <c r="F40" s="17">
        <f t="shared" si="27"/>
        <v>0</v>
      </c>
      <c r="G40" s="21">
        <f t="shared" si="27"/>
        <v>0</v>
      </c>
      <c r="H40" s="170">
        <f t="shared" si="27"/>
        <v>0</v>
      </c>
      <c r="I40" s="17">
        <f t="shared" si="27"/>
        <v>0</v>
      </c>
      <c r="J40" s="17">
        <f t="shared" si="27"/>
        <v>0</v>
      </c>
      <c r="K40" s="21">
        <f t="shared" si="27"/>
        <v>0</v>
      </c>
      <c r="L40" s="170">
        <f t="shared" si="27"/>
        <v>0</v>
      </c>
      <c r="M40" s="17">
        <f t="shared" si="27"/>
        <v>0</v>
      </c>
      <c r="N40" s="17">
        <f t="shared" si="27"/>
        <v>0</v>
      </c>
      <c r="O40" s="21">
        <f t="shared" si="27"/>
        <v>0</v>
      </c>
      <c r="R40" s="59" t="s">
        <v>42</v>
      </c>
      <c r="S40" s="18" t="s">
        <v>0</v>
      </c>
      <c r="T40" s="284">
        <f>SUM(D40:G40)</f>
        <v>0</v>
      </c>
      <c r="U40" s="286">
        <f>SUM(H40:K40)</f>
        <v>0</v>
      </c>
      <c r="V40" s="21">
        <f>SUM(L40:O40)</f>
        <v>0</v>
      </c>
      <c r="W40" s="21">
        <f>SUM(T40:V40)</f>
        <v>0</v>
      </c>
    </row>
    <row r="41" spans="2:26" x14ac:dyDescent="0.25">
      <c r="B41" s="61" t="s">
        <v>46</v>
      </c>
      <c r="C41" s="19" t="s">
        <v>0</v>
      </c>
      <c r="D41" s="171">
        <f>D40</f>
        <v>0</v>
      </c>
      <c r="E41" s="91">
        <f t="shared" ref="E41:O41" si="28">D41+E40+E43</f>
        <v>0</v>
      </c>
      <c r="F41" s="91">
        <f t="shared" si="28"/>
        <v>0</v>
      </c>
      <c r="G41" s="23">
        <f t="shared" si="28"/>
        <v>0</v>
      </c>
      <c r="H41" s="171">
        <f t="shared" si="28"/>
        <v>0</v>
      </c>
      <c r="I41" s="91">
        <f t="shared" si="28"/>
        <v>0</v>
      </c>
      <c r="J41" s="91">
        <f t="shared" si="28"/>
        <v>0</v>
      </c>
      <c r="K41" s="23">
        <f t="shared" si="28"/>
        <v>0</v>
      </c>
      <c r="L41" s="171">
        <f t="shared" si="28"/>
        <v>0</v>
      </c>
      <c r="M41" s="91">
        <f t="shared" si="28"/>
        <v>0</v>
      </c>
      <c r="N41" s="91">
        <f t="shared" si="28"/>
        <v>0</v>
      </c>
      <c r="O41" s="23">
        <f t="shared" si="28"/>
        <v>0</v>
      </c>
      <c r="R41" s="61" t="s">
        <v>46</v>
      </c>
      <c r="S41" s="19" t="s">
        <v>0</v>
      </c>
      <c r="T41" s="282">
        <f>G41</f>
        <v>0</v>
      </c>
      <c r="U41" s="287">
        <f>K41</f>
        <v>0</v>
      </c>
      <c r="V41" s="23">
        <f>O41</f>
        <v>0</v>
      </c>
      <c r="W41" s="23">
        <f t="shared" ref="W41:W49" si="29">SUM(T41:V41)</f>
        <v>0</v>
      </c>
      <c r="Z41" s="12"/>
    </row>
    <row r="42" spans="2:26" x14ac:dyDescent="0.25">
      <c r="B42" s="60" t="s">
        <v>43</v>
      </c>
      <c r="C42" s="19" t="s">
        <v>0</v>
      </c>
      <c r="D42" s="172">
        <f t="shared" ref="D42:O42" si="30">IF(D28&gt;0,D28,0)</f>
        <v>151408.77599999998</v>
      </c>
      <c r="E42" s="92">
        <f t="shared" si="30"/>
        <v>498715.64832799998</v>
      </c>
      <c r="F42" s="92">
        <f t="shared" si="30"/>
        <v>499267.31977632787</v>
      </c>
      <c r="G42" s="22">
        <f t="shared" si="30"/>
        <v>499819.54289610416</v>
      </c>
      <c r="H42" s="172">
        <f t="shared" si="30"/>
        <v>733078.06816952606</v>
      </c>
      <c r="I42" s="92">
        <f t="shared" si="30"/>
        <v>733864.9695376954</v>
      </c>
      <c r="J42" s="92">
        <f t="shared" si="30"/>
        <v>726556.25780723302</v>
      </c>
      <c r="K42" s="22">
        <f t="shared" si="30"/>
        <v>727344.73376504006</v>
      </c>
      <c r="L42" s="172">
        <f t="shared" si="30"/>
        <v>727266.49819880503</v>
      </c>
      <c r="M42" s="92">
        <f t="shared" si="30"/>
        <v>728056.55189700378</v>
      </c>
      <c r="N42" s="92">
        <f t="shared" si="30"/>
        <v>728847.39564890077</v>
      </c>
      <c r="O42" s="22">
        <f t="shared" si="30"/>
        <v>729639.03024454962</v>
      </c>
      <c r="R42" s="60" t="s">
        <v>43</v>
      </c>
      <c r="S42" s="19" t="s">
        <v>0</v>
      </c>
      <c r="T42" s="281">
        <f t="shared" ref="T42:T49" si="31">SUM(D42:G42)</f>
        <v>1649211.2870004321</v>
      </c>
      <c r="U42" s="288">
        <f t="shared" ref="U42:U49" si="32">SUM(H42:K42)</f>
        <v>2920844.0292794947</v>
      </c>
      <c r="V42" s="22">
        <f t="shared" ref="V42:V49" si="33">SUM(L42:O42)</f>
        <v>2913809.4759892593</v>
      </c>
      <c r="W42" s="22">
        <f t="shared" si="29"/>
        <v>7483864.792269187</v>
      </c>
      <c r="Z42" s="12"/>
    </row>
    <row r="43" spans="2:26" x14ac:dyDescent="0.25">
      <c r="B43" s="62" t="s">
        <v>44</v>
      </c>
      <c r="C43" s="16" t="s">
        <v>0</v>
      </c>
      <c r="D43" s="91"/>
      <c r="E43" s="91">
        <f t="shared" ref="E43:O43" si="34">IF(D48&gt;0,IF(E42&gt;0,IF(E46&gt;=D48,D48,E46),0),0)</f>
        <v>0</v>
      </c>
      <c r="F43" s="91">
        <f t="shared" si="34"/>
        <v>0</v>
      </c>
      <c r="G43" s="23">
        <f t="shared" si="34"/>
        <v>0</v>
      </c>
      <c r="H43" s="171">
        <f t="shared" si="34"/>
        <v>0</v>
      </c>
      <c r="I43" s="91">
        <f t="shared" si="34"/>
        <v>0</v>
      </c>
      <c r="J43" s="91">
        <f t="shared" si="34"/>
        <v>0</v>
      </c>
      <c r="K43" s="23">
        <f t="shared" si="34"/>
        <v>0</v>
      </c>
      <c r="L43" s="171">
        <f t="shared" si="34"/>
        <v>0</v>
      </c>
      <c r="M43" s="91">
        <f t="shared" si="34"/>
        <v>0</v>
      </c>
      <c r="N43" s="91">
        <f t="shared" si="34"/>
        <v>0</v>
      </c>
      <c r="O43" s="23">
        <f t="shared" si="34"/>
        <v>0</v>
      </c>
      <c r="R43" s="62" t="s">
        <v>44</v>
      </c>
      <c r="S43" s="16" t="s">
        <v>0</v>
      </c>
      <c r="T43" s="282">
        <f t="shared" si="31"/>
        <v>0</v>
      </c>
      <c r="U43" s="287">
        <f t="shared" si="32"/>
        <v>0</v>
      </c>
      <c r="V43" s="23">
        <f t="shared" si="33"/>
        <v>0</v>
      </c>
      <c r="W43" s="23">
        <f t="shared" si="29"/>
        <v>0</v>
      </c>
      <c r="Z43" s="12"/>
    </row>
    <row r="44" spans="2:26" ht="24" x14ac:dyDescent="0.25">
      <c r="B44" s="60" t="s">
        <v>45</v>
      </c>
      <c r="C44" s="19" t="s">
        <v>0</v>
      </c>
      <c r="D44" s="171">
        <f t="shared" ref="D44:O44" si="35">D42-D43-IF(D48&gt;0,)</f>
        <v>151408.77599999998</v>
      </c>
      <c r="E44" s="91">
        <f t="shared" si="35"/>
        <v>498715.64832799998</v>
      </c>
      <c r="F44" s="91">
        <f t="shared" si="35"/>
        <v>499267.31977632787</v>
      </c>
      <c r="G44" s="23">
        <f t="shared" si="35"/>
        <v>499819.54289610416</v>
      </c>
      <c r="H44" s="171">
        <f t="shared" si="35"/>
        <v>733078.06816952606</v>
      </c>
      <c r="I44" s="91">
        <f t="shared" si="35"/>
        <v>733864.9695376954</v>
      </c>
      <c r="J44" s="91">
        <f t="shared" si="35"/>
        <v>726556.25780723302</v>
      </c>
      <c r="K44" s="23">
        <f t="shared" si="35"/>
        <v>727344.73376504006</v>
      </c>
      <c r="L44" s="171">
        <f t="shared" si="35"/>
        <v>727266.49819880503</v>
      </c>
      <c r="M44" s="91">
        <f t="shared" si="35"/>
        <v>728056.55189700378</v>
      </c>
      <c r="N44" s="91">
        <f t="shared" si="35"/>
        <v>728847.39564890077</v>
      </c>
      <c r="O44" s="23">
        <f t="shared" si="35"/>
        <v>729639.03024454962</v>
      </c>
      <c r="R44" s="60" t="s">
        <v>45</v>
      </c>
      <c r="S44" s="19" t="s">
        <v>0</v>
      </c>
      <c r="T44" s="282">
        <f t="shared" si="31"/>
        <v>1649211.2870004321</v>
      </c>
      <c r="U44" s="287">
        <f t="shared" si="32"/>
        <v>2920844.0292794947</v>
      </c>
      <c r="V44" s="23">
        <f t="shared" si="33"/>
        <v>2913809.4759892593</v>
      </c>
      <c r="W44" s="23">
        <f t="shared" si="29"/>
        <v>7483864.792269187</v>
      </c>
      <c r="Z44" s="12"/>
    </row>
    <row r="45" spans="2:26" outlineLevel="1" x14ac:dyDescent="0.25">
      <c r="B45" s="60" t="s">
        <v>51</v>
      </c>
      <c r="C45" s="19"/>
      <c r="D45" s="171"/>
      <c r="E45" s="91"/>
      <c r="F45" s="91"/>
      <c r="G45" s="23"/>
      <c r="H45" s="171"/>
      <c r="I45" s="91"/>
      <c r="J45" s="91"/>
      <c r="K45" s="23"/>
      <c r="L45" s="171"/>
      <c r="M45" s="91"/>
      <c r="N45" s="91"/>
      <c r="O45" s="23"/>
      <c r="Q45" s="11"/>
      <c r="R45" s="60" t="s">
        <v>51</v>
      </c>
      <c r="S45" s="19" t="s">
        <v>0</v>
      </c>
      <c r="T45" s="282">
        <f t="shared" si="31"/>
        <v>0</v>
      </c>
      <c r="U45" s="287">
        <f t="shared" si="32"/>
        <v>0</v>
      </c>
      <c r="V45" s="23">
        <f t="shared" si="33"/>
        <v>0</v>
      </c>
      <c r="W45" s="23">
        <f t="shared" si="29"/>
        <v>0</v>
      </c>
      <c r="Z45" s="12"/>
    </row>
    <row r="46" spans="2:26" ht="24" outlineLevel="1" x14ac:dyDescent="0.25">
      <c r="B46" s="425" t="s">
        <v>47</v>
      </c>
      <c r="C46" s="426" t="s">
        <v>0</v>
      </c>
      <c r="D46" s="171">
        <f t="shared" ref="D46:O46" si="36">D42*0.5</f>
        <v>75704.387999999992</v>
      </c>
      <c r="E46" s="91">
        <f t="shared" si="36"/>
        <v>249357.82416399999</v>
      </c>
      <c r="F46" s="91">
        <f t="shared" si="36"/>
        <v>249633.65988816394</v>
      </c>
      <c r="G46" s="23">
        <f t="shared" si="36"/>
        <v>249909.77144805208</v>
      </c>
      <c r="H46" s="171">
        <f t="shared" si="36"/>
        <v>366539.03408476303</v>
      </c>
      <c r="I46" s="91">
        <f t="shared" si="36"/>
        <v>366932.4847688477</v>
      </c>
      <c r="J46" s="91">
        <f t="shared" si="36"/>
        <v>363278.12890361651</v>
      </c>
      <c r="K46" s="23">
        <f t="shared" si="36"/>
        <v>363672.36688252003</v>
      </c>
      <c r="L46" s="171">
        <f t="shared" si="36"/>
        <v>363633.24909940251</v>
      </c>
      <c r="M46" s="91">
        <f t="shared" si="36"/>
        <v>364028.27594850189</v>
      </c>
      <c r="N46" s="91">
        <f t="shared" si="36"/>
        <v>364423.69782445038</v>
      </c>
      <c r="O46" s="23">
        <f t="shared" si="36"/>
        <v>364819.51512227481</v>
      </c>
      <c r="R46" s="60" t="s">
        <v>47</v>
      </c>
      <c r="S46" s="19" t="s">
        <v>0</v>
      </c>
      <c r="T46" s="282">
        <f t="shared" si="31"/>
        <v>824605.64350021607</v>
      </c>
      <c r="U46" s="287">
        <f t="shared" si="32"/>
        <v>1460422.0146397473</v>
      </c>
      <c r="V46" s="23">
        <f t="shared" si="33"/>
        <v>1456904.7379946297</v>
      </c>
      <c r="W46" s="23">
        <f t="shared" si="29"/>
        <v>3741932.3961345935</v>
      </c>
      <c r="Z46" s="12"/>
    </row>
    <row r="47" spans="2:26" ht="36" outlineLevel="1" x14ac:dyDescent="0.25">
      <c r="B47" s="425" t="s">
        <v>50</v>
      </c>
      <c r="C47" s="426" t="s">
        <v>0</v>
      </c>
      <c r="D47" s="171">
        <f>D43</f>
        <v>0</v>
      </c>
      <c r="E47" s="91">
        <f t="shared" ref="E47:O47" si="37">E43+D47</f>
        <v>0</v>
      </c>
      <c r="F47" s="91">
        <f t="shared" si="37"/>
        <v>0</v>
      </c>
      <c r="G47" s="23">
        <f t="shared" si="37"/>
        <v>0</v>
      </c>
      <c r="H47" s="171">
        <f t="shared" si="37"/>
        <v>0</v>
      </c>
      <c r="I47" s="91">
        <f t="shared" si="37"/>
        <v>0</v>
      </c>
      <c r="J47" s="91">
        <f t="shared" si="37"/>
        <v>0</v>
      </c>
      <c r="K47" s="23">
        <f t="shared" si="37"/>
        <v>0</v>
      </c>
      <c r="L47" s="171">
        <f t="shared" si="37"/>
        <v>0</v>
      </c>
      <c r="M47" s="91">
        <f t="shared" si="37"/>
        <v>0</v>
      </c>
      <c r="N47" s="91">
        <f t="shared" si="37"/>
        <v>0</v>
      </c>
      <c r="O47" s="23">
        <f t="shared" si="37"/>
        <v>0</v>
      </c>
      <c r="R47" s="60" t="s">
        <v>50</v>
      </c>
      <c r="S47" s="19" t="s">
        <v>0</v>
      </c>
      <c r="T47" s="282">
        <f t="shared" si="31"/>
        <v>0</v>
      </c>
      <c r="U47" s="287">
        <f t="shared" si="32"/>
        <v>0</v>
      </c>
      <c r="V47" s="23">
        <f t="shared" si="33"/>
        <v>0</v>
      </c>
      <c r="W47" s="23">
        <f t="shared" si="29"/>
        <v>0</v>
      </c>
      <c r="Z47" s="12"/>
    </row>
    <row r="48" spans="2:26" outlineLevel="1" x14ac:dyDescent="0.25">
      <c r="B48" s="425" t="s">
        <v>49</v>
      </c>
      <c r="C48" s="426" t="s">
        <v>0</v>
      </c>
      <c r="D48" s="171">
        <f t="shared" ref="D48:O48" si="38">-D41</f>
        <v>0</v>
      </c>
      <c r="E48" s="91">
        <f t="shared" si="38"/>
        <v>0</v>
      </c>
      <c r="F48" s="91">
        <f t="shared" si="38"/>
        <v>0</v>
      </c>
      <c r="G48" s="23">
        <f t="shared" si="38"/>
        <v>0</v>
      </c>
      <c r="H48" s="171">
        <f t="shared" si="38"/>
        <v>0</v>
      </c>
      <c r="I48" s="91">
        <f t="shared" si="38"/>
        <v>0</v>
      </c>
      <c r="J48" s="91">
        <f t="shared" si="38"/>
        <v>0</v>
      </c>
      <c r="K48" s="23">
        <f t="shared" si="38"/>
        <v>0</v>
      </c>
      <c r="L48" s="171">
        <f t="shared" si="38"/>
        <v>0</v>
      </c>
      <c r="M48" s="91">
        <f t="shared" si="38"/>
        <v>0</v>
      </c>
      <c r="N48" s="91">
        <f t="shared" si="38"/>
        <v>0</v>
      </c>
      <c r="O48" s="23">
        <f t="shared" si="38"/>
        <v>0</v>
      </c>
      <c r="R48" s="60" t="s">
        <v>49</v>
      </c>
      <c r="S48" s="19" t="s">
        <v>0</v>
      </c>
      <c r="T48" s="282">
        <f t="shared" si="31"/>
        <v>0</v>
      </c>
      <c r="U48" s="287">
        <f t="shared" si="32"/>
        <v>0</v>
      </c>
      <c r="V48" s="23">
        <f t="shared" si="33"/>
        <v>0</v>
      </c>
      <c r="W48" s="23">
        <f t="shared" si="29"/>
        <v>0</v>
      </c>
      <c r="Z48" s="12"/>
    </row>
    <row r="49" spans="2:27" ht="15.75" thickBot="1" x14ac:dyDescent="0.3">
      <c r="B49" s="127" t="s">
        <v>6</v>
      </c>
      <c r="C49" s="174" t="s">
        <v>15</v>
      </c>
      <c r="D49" s="175">
        <f t="shared" ref="D49:O49" si="39">D44*0.2</f>
        <v>30281.7552</v>
      </c>
      <c r="E49" s="176">
        <f t="shared" si="39"/>
        <v>99743.129665600005</v>
      </c>
      <c r="F49" s="176">
        <f t="shared" si="39"/>
        <v>99853.463955265586</v>
      </c>
      <c r="G49" s="177">
        <f t="shared" si="39"/>
        <v>99963.908579220835</v>
      </c>
      <c r="H49" s="175">
        <f t="shared" si="39"/>
        <v>146615.61363390522</v>
      </c>
      <c r="I49" s="176">
        <f t="shared" si="39"/>
        <v>146772.99390753909</v>
      </c>
      <c r="J49" s="176">
        <f t="shared" si="39"/>
        <v>145311.25156144661</v>
      </c>
      <c r="K49" s="177">
        <f t="shared" si="39"/>
        <v>145468.94675300803</v>
      </c>
      <c r="L49" s="175">
        <f t="shared" si="39"/>
        <v>145453.29963976101</v>
      </c>
      <c r="M49" s="176">
        <f t="shared" si="39"/>
        <v>145611.31037940076</v>
      </c>
      <c r="N49" s="176">
        <f t="shared" si="39"/>
        <v>145769.47912978017</v>
      </c>
      <c r="O49" s="177">
        <f t="shared" si="39"/>
        <v>145927.80604890993</v>
      </c>
      <c r="Q49" s="178"/>
      <c r="R49" s="127" t="s">
        <v>6</v>
      </c>
      <c r="S49" s="174" t="s">
        <v>15</v>
      </c>
      <c r="T49" s="285">
        <f t="shared" si="31"/>
        <v>329842.25740008644</v>
      </c>
      <c r="U49" s="289">
        <f t="shared" si="32"/>
        <v>584168.805855899</v>
      </c>
      <c r="V49" s="177">
        <f t="shared" si="33"/>
        <v>582761.89519785182</v>
      </c>
      <c r="W49" s="177">
        <f t="shared" si="29"/>
        <v>1496772.9584538373</v>
      </c>
      <c r="Z49" s="12"/>
    </row>
    <row r="50" spans="2:27" x14ac:dyDescent="0.25">
      <c r="B50" s="95"/>
      <c r="C50" s="88"/>
      <c r="G50" s="53"/>
      <c r="H50" s="53"/>
      <c r="I50" s="53"/>
      <c r="J50" s="53"/>
      <c r="K50" s="53"/>
      <c r="L50" s="53"/>
      <c r="M50" s="53"/>
      <c r="N50" s="53"/>
      <c r="O50" s="53"/>
      <c r="Q50" s="11"/>
      <c r="R50" s="54"/>
      <c r="S50" s="11"/>
      <c r="T50" s="88"/>
      <c r="Z50" s="12"/>
    </row>
    <row r="51" spans="2:27" ht="15.75" thickBot="1" x14ac:dyDescent="0.3">
      <c r="T51" s="290">
        <f>T30-SUM(D30:G30)</f>
        <v>0</v>
      </c>
      <c r="U51" s="290">
        <f>U30-SUM(H30:K30)</f>
        <v>0</v>
      </c>
      <c r="V51" s="290">
        <f>V30-SUM(L30:O30)</f>
        <v>0</v>
      </c>
    </row>
    <row r="52" spans="2:27" ht="15.75" thickBot="1" x14ac:dyDescent="0.3">
      <c r="B52" s="476" t="s">
        <v>14</v>
      </c>
      <c r="C52" s="478" t="s">
        <v>29</v>
      </c>
      <c r="D52" s="480" t="s">
        <v>81</v>
      </c>
      <c r="E52" s="480"/>
      <c r="F52" s="480"/>
      <c r="G52" s="481"/>
      <c r="H52" s="480" t="s">
        <v>82</v>
      </c>
      <c r="I52" s="480"/>
      <c r="J52" s="480"/>
      <c r="K52" s="481"/>
      <c r="L52" s="480" t="s">
        <v>83</v>
      </c>
      <c r="M52" s="480"/>
      <c r="N52" s="480"/>
      <c r="O52" s="481"/>
      <c r="R52" s="476" t="s">
        <v>14</v>
      </c>
      <c r="S52" s="478" t="s">
        <v>11</v>
      </c>
      <c r="T52" s="482" t="s">
        <v>113</v>
      </c>
      <c r="U52" s="474" t="s">
        <v>82</v>
      </c>
      <c r="V52" s="474" t="s">
        <v>83</v>
      </c>
      <c r="W52" s="474" t="s">
        <v>9</v>
      </c>
      <c r="X52" s="87"/>
    </row>
    <row r="53" spans="2:27" ht="15.75" thickBot="1" x14ac:dyDescent="0.3">
      <c r="B53" s="477"/>
      <c r="C53" s="479"/>
      <c r="D53" s="255" t="s">
        <v>112</v>
      </c>
      <c r="E53" s="256" t="s">
        <v>99</v>
      </c>
      <c r="F53" s="256" t="s">
        <v>100</v>
      </c>
      <c r="G53" s="257" t="s">
        <v>101</v>
      </c>
      <c r="H53" s="255" t="s">
        <v>102</v>
      </c>
      <c r="I53" s="256" t="s">
        <v>103</v>
      </c>
      <c r="J53" s="256" t="s">
        <v>104</v>
      </c>
      <c r="K53" s="257" t="s">
        <v>105</v>
      </c>
      <c r="L53" s="255" t="s">
        <v>106</v>
      </c>
      <c r="M53" s="258" t="s">
        <v>107</v>
      </c>
      <c r="N53" s="256" t="s">
        <v>108</v>
      </c>
      <c r="O53" s="257" t="s">
        <v>109</v>
      </c>
      <c r="R53" s="477"/>
      <c r="S53" s="479"/>
      <c r="T53" s="483"/>
      <c r="U53" s="475"/>
      <c r="V53" s="475"/>
      <c r="W53" s="475"/>
      <c r="X53" s="87"/>
    </row>
    <row r="54" spans="2:27" x14ac:dyDescent="0.25">
      <c r="B54" s="116" t="s">
        <v>85</v>
      </c>
      <c r="C54" s="181" t="s">
        <v>0</v>
      </c>
      <c r="D54" s="241">
        <f>IF(D55-D56&gt;0,D55-D56,0)</f>
        <v>30859.355200000005</v>
      </c>
      <c r="E54" s="242">
        <f t="shared" ref="E54:O54" si="40">IF(E55-E56&gt;0,E55-E56,0)</f>
        <v>104378.28966560001</v>
      </c>
      <c r="F54" s="242">
        <f t="shared" si="40"/>
        <v>104488.62395526558</v>
      </c>
      <c r="G54" s="119">
        <f t="shared" si="40"/>
        <v>104599.06857922084</v>
      </c>
      <c r="H54" s="241">
        <f t="shared" si="40"/>
        <v>152689.27363390522</v>
      </c>
      <c r="I54" s="242">
        <f t="shared" si="40"/>
        <v>152846.65390753906</v>
      </c>
      <c r="J54" s="242">
        <f t="shared" si="40"/>
        <v>153004.19156144661</v>
      </c>
      <c r="K54" s="119">
        <f t="shared" si="40"/>
        <v>153161.88675300803</v>
      </c>
      <c r="L54" s="241">
        <f t="shared" si="40"/>
        <v>153319.73963976101</v>
      </c>
      <c r="M54" s="242">
        <f t="shared" si="40"/>
        <v>153477.75037940076</v>
      </c>
      <c r="N54" s="242">
        <f t="shared" si="40"/>
        <v>153635.91912978017</v>
      </c>
      <c r="O54" s="119">
        <f t="shared" si="40"/>
        <v>153794.24604890993</v>
      </c>
      <c r="R54" s="116" t="s">
        <v>5</v>
      </c>
      <c r="S54" s="117" t="s">
        <v>0</v>
      </c>
      <c r="T54" s="118">
        <f>SUM(D54:G54)</f>
        <v>344325.33740008646</v>
      </c>
      <c r="U54" s="163">
        <f>SUM(H54:K54)</f>
        <v>611702.00585589895</v>
      </c>
      <c r="V54" s="163">
        <f>SUM(L54:O54)</f>
        <v>614227.65519785194</v>
      </c>
      <c r="W54" s="163">
        <f>SUM(T54:V54)</f>
        <v>1570254.9984538374</v>
      </c>
      <c r="X54" s="87"/>
    </row>
    <row r="55" spans="2:27" x14ac:dyDescent="0.25">
      <c r="B55" s="120" t="s">
        <v>30</v>
      </c>
      <c r="C55" s="235" t="s">
        <v>0</v>
      </c>
      <c r="D55" s="243">
        <f>D6*D68</f>
        <v>37112.480000000003</v>
      </c>
      <c r="E55" s="243">
        <f t="shared" ref="E55:O55" si="41">E6*E68</f>
        <v>111448.77744000001</v>
      </c>
      <c r="F55" s="243">
        <f t="shared" si="41"/>
        <v>111560.22621743998</v>
      </c>
      <c r="G55" s="164">
        <f t="shared" si="41"/>
        <v>111671.78644365742</v>
      </c>
      <c r="H55" s="243">
        <f t="shared" si="41"/>
        <v>158969.97336758103</v>
      </c>
      <c r="I55" s="243">
        <f t="shared" si="41"/>
        <v>159128.94334094855</v>
      </c>
      <c r="J55" s="243">
        <f t="shared" si="41"/>
        <v>159288.07228428952</v>
      </c>
      <c r="K55" s="164">
        <f t="shared" si="41"/>
        <v>159447.36035657377</v>
      </c>
      <c r="L55" s="243">
        <f t="shared" si="41"/>
        <v>159606.80771693031</v>
      </c>
      <c r="M55" s="243">
        <f t="shared" si="41"/>
        <v>159766.41452464723</v>
      </c>
      <c r="N55" s="243">
        <f t="shared" si="41"/>
        <v>159926.1809391719</v>
      </c>
      <c r="O55" s="164">
        <f t="shared" si="41"/>
        <v>160086.10712011103</v>
      </c>
      <c r="R55" s="123" t="s">
        <v>48</v>
      </c>
      <c r="S55" s="104" t="s">
        <v>0</v>
      </c>
      <c r="T55" s="124">
        <f>SUM(D63:G63)</f>
        <v>28697.399999999998</v>
      </c>
      <c r="U55" s="125">
        <f>U24+U18</f>
        <v>37116</v>
      </c>
      <c r="V55" s="125">
        <f>V24+V18</f>
        <v>40852.799999999996</v>
      </c>
      <c r="W55" s="125">
        <f t="shared" ref="W55:W57" si="42">SUM(T55:V55)</f>
        <v>106666.19999999998</v>
      </c>
      <c r="X55" s="87"/>
    </row>
    <row r="56" spans="2:27" x14ac:dyDescent="0.25">
      <c r="B56" s="121" t="s">
        <v>31</v>
      </c>
      <c r="C56" s="236" t="s">
        <v>0</v>
      </c>
      <c r="D56" s="244">
        <f t="shared" ref="D56:O56" si="43">SUM(D57:D60)</f>
        <v>6253.1247999999996</v>
      </c>
      <c r="E56" s="244">
        <f t="shared" si="43"/>
        <v>7070.4877744000005</v>
      </c>
      <c r="F56" s="244">
        <f t="shared" si="43"/>
        <v>7071.6022621743996</v>
      </c>
      <c r="G56" s="165">
        <f t="shared" si="43"/>
        <v>7072.717864436574</v>
      </c>
      <c r="H56" s="244">
        <f t="shared" si="43"/>
        <v>6280.6997336758104</v>
      </c>
      <c r="I56" s="244">
        <f t="shared" si="43"/>
        <v>6282.2894334094854</v>
      </c>
      <c r="J56" s="244">
        <f t="shared" si="43"/>
        <v>6283.880722842895</v>
      </c>
      <c r="K56" s="165">
        <f t="shared" si="43"/>
        <v>6285.4736035657379</v>
      </c>
      <c r="L56" s="244">
        <f t="shared" si="43"/>
        <v>6287.0680771693033</v>
      </c>
      <c r="M56" s="244">
        <f t="shared" si="43"/>
        <v>6288.6641452464719</v>
      </c>
      <c r="N56" s="244">
        <f t="shared" si="43"/>
        <v>6290.261809391719</v>
      </c>
      <c r="O56" s="165">
        <f t="shared" si="43"/>
        <v>6291.8610712011105</v>
      </c>
      <c r="R56" s="123" t="s">
        <v>80</v>
      </c>
      <c r="S56" s="104" t="s">
        <v>0</v>
      </c>
      <c r="T56" s="124">
        <f>SUM(D64:G64)</f>
        <v>0</v>
      </c>
      <c r="U56" s="125">
        <v>0</v>
      </c>
      <c r="V56" s="125">
        <v>0</v>
      </c>
      <c r="W56" s="125">
        <f t="shared" si="42"/>
        <v>0</v>
      </c>
      <c r="X56" s="87"/>
    </row>
    <row r="57" spans="2:27" ht="15.75" thickBot="1" x14ac:dyDescent="0.3">
      <c r="B57" s="122" t="s">
        <v>38</v>
      </c>
      <c r="C57" s="237" t="s">
        <v>0</v>
      </c>
      <c r="D57" s="245">
        <f>(D12+D16+D19)*D71*D68</f>
        <v>419.12479999999999</v>
      </c>
      <c r="E57" s="245">
        <f>(E12+E16+E19)*E71*E68</f>
        <v>1204.4877744</v>
      </c>
      <c r="F57" s="245">
        <f t="shared" ref="F57:O57" si="44">(F12+F16+F19)*F71*F68</f>
        <v>1205.6022621743998</v>
      </c>
      <c r="G57" s="166">
        <f t="shared" si="44"/>
        <v>1206.717864436574</v>
      </c>
      <c r="H57" s="245">
        <f t="shared" si="44"/>
        <v>1679.6997336758102</v>
      </c>
      <c r="I57" s="245">
        <f t="shared" si="44"/>
        <v>1681.2894334094854</v>
      </c>
      <c r="J57" s="245">
        <f t="shared" si="44"/>
        <v>1682.8807228428952</v>
      </c>
      <c r="K57" s="166">
        <f t="shared" si="44"/>
        <v>1684.4736035657379</v>
      </c>
      <c r="L57" s="245">
        <f t="shared" si="44"/>
        <v>1686.0680771693033</v>
      </c>
      <c r="M57" s="245">
        <f t="shared" si="44"/>
        <v>1687.6641452464723</v>
      </c>
      <c r="N57" s="245">
        <f t="shared" si="44"/>
        <v>1689.261809391719</v>
      </c>
      <c r="O57" s="166">
        <f t="shared" si="44"/>
        <v>1690.8610712011105</v>
      </c>
      <c r="R57" s="263" t="s">
        <v>16</v>
      </c>
      <c r="S57" s="264" t="s">
        <v>0</v>
      </c>
      <c r="T57" s="265">
        <f>SUM(D65:G65)</f>
        <v>373022.73740008648</v>
      </c>
      <c r="U57" s="266">
        <f>U54+U55+U56</f>
        <v>648818.00585589895</v>
      </c>
      <c r="V57" s="266">
        <f>V54+V55+V56</f>
        <v>655080.45519785199</v>
      </c>
      <c r="W57" s="266">
        <f t="shared" si="42"/>
        <v>1676921.1984538375</v>
      </c>
      <c r="X57" s="87"/>
    </row>
    <row r="58" spans="2:27" x14ac:dyDescent="0.25">
      <c r="B58" s="122" t="s">
        <v>32</v>
      </c>
      <c r="C58" s="237" t="s">
        <v>0</v>
      </c>
      <c r="D58" s="246">
        <f>D66*D72*D68</f>
        <v>2910</v>
      </c>
      <c r="E58" s="246">
        <f>E66*E72*E68</f>
        <v>2910</v>
      </c>
      <c r="F58" s="246">
        <f t="shared" ref="F58:O58" si="45">F66*F72*F68</f>
        <v>2910</v>
      </c>
      <c r="G58" s="167">
        <f t="shared" si="45"/>
        <v>2910</v>
      </c>
      <c r="H58" s="246">
        <f t="shared" si="45"/>
        <v>1645</v>
      </c>
      <c r="I58" s="246">
        <f t="shared" si="45"/>
        <v>1645</v>
      </c>
      <c r="J58" s="246">
        <f t="shared" si="45"/>
        <v>1645</v>
      </c>
      <c r="K58" s="167">
        <f t="shared" si="45"/>
        <v>1645</v>
      </c>
      <c r="L58" s="246">
        <f t="shared" si="45"/>
        <v>1645</v>
      </c>
      <c r="M58" s="246">
        <f t="shared" si="45"/>
        <v>1645</v>
      </c>
      <c r="N58" s="246">
        <f t="shared" si="45"/>
        <v>1645</v>
      </c>
      <c r="O58" s="167">
        <f t="shared" si="45"/>
        <v>1645</v>
      </c>
      <c r="T58" s="88"/>
      <c r="U58" s="88"/>
      <c r="V58" s="88"/>
      <c r="AA58" s="24"/>
    </row>
    <row r="59" spans="2:27" x14ac:dyDescent="0.25">
      <c r="B59" s="122" t="s">
        <v>33</v>
      </c>
      <c r="C59" s="237" t="s">
        <v>0</v>
      </c>
      <c r="D59" s="245">
        <f>D20*D73*D68</f>
        <v>2900</v>
      </c>
      <c r="E59" s="245">
        <f>E20*E73*E68</f>
        <v>2900</v>
      </c>
      <c r="F59" s="245">
        <f t="shared" ref="F59:O59" si="46">F20*F73*F68</f>
        <v>2900</v>
      </c>
      <c r="G59" s="166">
        <f t="shared" si="46"/>
        <v>2900</v>
      </c>
      <c r="H59" s="245">
        <f t="shared" si="46"/>
        <v>2900</v>
      </c>
      <c r="I59" s="245">
        <f t="shared" si="46"/>
        <v>2900</v>
      </c>
      <c r="J59" s="245">
        <f t="shared" si="46"/>
        <v>2900</v>
      </c>
      <c r="K59" s="166">
        <f t="shared" si="46"/>
        <v>2900</v>
      </c>
      <c r="L59" s="245">
        <f t="shared" si="46"/>
        <v>2900</v>
      </c>
      <c r="M59" s="245">
        <f t="shared" si="46"/>
        <v>2900</v>
      </c>
      <c r="N59" s="245">
        <f t="shared" si="46"/>
        <v>2900</v>
      </c>
      <c r="O59" s="166">
        <f t="shared" si="46"/>
        <v>2900</v>
      </c>
    </row>
    <row r="60" spans="2:27" x14ac:dyDescent="0.25">
      <c r="B60" s="122" t="s">
        <v>34</v>
      </c>
      <c r="C60" s="237" t="s">
        <v>0</v>
      </c>
      <c r="D60" s="245">
        <f>D25*D74*D68</f>
        <v>24</v>
      </c>
      <c r="E60" s="245">
        <f>E25*E74*E68</f>
        <v>56</v>
      </c>
      <c r="F60" s="245">
        <f t="shared" ref="F60:O60" si="47">F25*F74*F68</f>
        <v>56</v>
      </c>
      <c r="G60" s="166">
        <f t="shared" si="47"/>
        <v>56</v>
      </c>
      <c r="H60" s="245">
        <f t="shared" si="47"/>
        <v>56</v>
      </c>
      <c r="I60" s="245">
        <f t="shared" si="47"/>
        <v>56</v>
      </c>
      <c r="J60" s="245">
        <f t="shared" si="47"/>
        <v>56</v>
      </c>
      <c r="K60" s="166">
        <f t="shared" si="47"/>
        <v>56</v>
      </c>
      <c r="L60" s="245">
        <f t="shared" si="47"/>
        <v>56</v>
      </c>
      <c r="M60" s="245">
        <f t="shared" si="47"/>
        <v>56</v>
      </c>
      <c r="N60" s="245">
        <f t="shared" si="47"/>
        <v>56</v>
      </c>
      <c r="O60" s="166">
        <f t="shared" si="47"/>
        <v>56</v>
      </c>
    </row>
    <row r="61" spans="2:27" ht="24" x14ac:dyDescent="0.25">
      <c r="B61" s="116" t="s">
        <v>86</v>
      </c>
      <c r="C61" s="238" t="s">
        <v>0</v>
      </c>
      <c r="D61" s="247"/>
      <c r="E61" s="247">
        <f t="shared" ref="E61:O61" si="48">D54</f>
        <v>30859.355200000005</v>
      </c>
      <c r="F61" s="247">
        <f t="shared" si="48"/>
        <v>104378.28966560001</v>
      </c>
      <c r="G61" s="182">
        <f t="shared" si="48"/>
        <v>104488.62395526558</v>
      </c>
      <c r="H61" s="247">
        <f t="shared" si="48"/>
        <v>104599.06857922084</v>
      </c>
      <c r="I61" s="247">
        <f t="shared" si="48"/>
        <v>152689.27363390522</v>
      </c>
      <c r="J61" s="247">
        <f t="shared" si="48"/>
        <v>152846.65390753906</v>
      </c>
      <c r="K61" s="182">
        <f t="shared" si="48"/>
        <v>153004.19156144661</v>
      </c>
      <c r="L61" s="247">
        <f t="shared" si="48"/>
        <v>153161.88675300803</v>
      </c>
      <c r="M61" s="247">
        <f t="shared" si="48"/>
        <v>153319.73963976101</v>
      </c>
      <c r="N61" s="247">
        <f t="shared" si="48"/>
        <v>153477.75037940076</v>
      </c>
      <c r="O61" s="182">
        <f t="shared" si="48"/>
        <v>153635.91912978017</v>
      </c>
    </row>
    <row r="62" spans="2:27" x14ac:dyDescent="0.25">
      <c r="B62" s="116" t="s">
        <v>36</v>
      </c>
      <c r="C62" s="239" t="s">
        <v>0</v>
      </c>
      <c r="D62" s="248">
        <f>D54-D61</f>
        <v>30859.355200000005</v>
      </c>
      <c r="E62" s="248">
        <f>D62+E54-E61</f>
        <v>104378.28966560001</v>
      </c>
      <c r="F62" s="248">
        <f t="shared" ref="F62:O62" si="49">E62-F54+F55-F56</f>
        <v>104378.28966560001</v>
      </c>
      <c r="G62" s="168">
        <f t="shared" si="49"/>
        <v>104378.28966560001</v>
      </c>
      <c r="H62" s="248">
        <f t="shared" si="49"/>
        <v>104378.28966560001</v>
      </c>
      <c r="I62" s="248">
        <f t="shared" si="49"/>
        <v>104378.28966560001</v>
      </c>
      <c r="J62" s="248">
        <f t="shared" si="49"/>
        <v>104378.28966560002</v>
      </c>
      <c r="K62" s="168">
        <f t="shared" si="49"/>
        <v>104378.28966560002</v>
      </c>
      <c r="L62" s="248">
        <f t="shared" si="49"/>
        <v>104378.28966560002</v>
      </c>
      <c r="M62" s="248">
        <f t="shared" si="49"/>
        <v>104378.28966560002</v>
      </c>
      <c r="N62" s="248">
        <f t="shared" si="49"/>
        <v>104378.28966560002</v>
      </c>
      <c r="O62" s="168">
        <f t="shared" si="49"/>
        <v>104378.28966560001</v>
      </c>
    </row>
    <row r="63" spans="2:27" x14ac:dyDescent="0.25">
      <c r="B63" s="123" t="s">
        <v>48</v>
      </c>
      <c r="C63" s="240" t="s">
        <v>0</v>
      </c>
      <c r="D63" s="249">
        <f t="shared" ref="D63:O63" si="50">D24+D18</f>
        <v>3663</v>
      </c>
      <c r="E63" s="249">
        <f t="shared" si="50"/>
        <v>8344.7999999999993</v>
      </c>
      <c r="F63" s="249">
        <f t="shared" si="50"/>
        <v>8344.7999999999993</v>
      </c>
      <c r="G63" s="125">
        <f t="shared" si="50"/>
        <v>8344.7999999999993</v>
      </c>
      <c r="H63" s="249">
        <f t="shared" si="50"/>
        <v>8344.7999999999993</v>
      </c>
      <c r="I63" s="249">
        <f t="shared" si="50"/>
        <v>8344.7999999999993</v>
      </c>
      <c r="J63" s="249">
        <f t="shared" si="50"/>
        <v>10213.199999999999</v>
      </c>
      <c r="K63" s="125">
        <f t="shared" si="50"/>
        <v>10213.199999999999</v>
      </c>
      <c r="L63" s="249">
        <f t="shared" si="50"/>
        <v>10213.199999999999</v>
      </c>
      <c r="M63" s="249">
        <f t="shared" si="50"/>
        <v>10213.199999999999</v>
      </c>
      <c r="N63" s="249">
        <f t="shared" si="50"/>
        <v>10213.199999999999</v>
      </c>
      <c r="O63" s="125">
        <f t="shared" si="50"/>
        <v>10213.199999999999</v>
      </c>
    </row>
    <row r="64" spans="2:27" x14ac:dyDescent="0.25">
      <c r="B64" s="123" t="s">
        <v>80</v>
      </c>
      <c r="C64" s="240" t="s">
        <v>0</v>
      </c>
      <c r="D64" s="249">
        <v>0</v>
      </c>
      <c r="E64" s="249">
        <v>0</v>
      </c>
      <c r="F64" s="249">
        <v>0</v>
      </c>
      <c r="G64" s="125">
        <v>0</v>
      </c>
      <c r="H64" s="249">
        <v>0</v>
      </c>
      <c r="I64" s="249">
        <v>0</v>
      </c>
      <c r="J64" s="249">
        <v>0</v>
      </c>
      <c r="K64" s="125">
        <v>0</v>
      </c>
      <c r="L64" s="249">
        <v>0</v>
      </c>
      <c r="M64" s="249">
        <v>0</v>
      </c>
      <c r="N64" s="249">
        <v>0</v>
      </c>
      <c r="O64" s="125">
        <v>0</v>
      </c>
    </row>
    <row r="65" spans="2:26" x14ac:dyDescent="0.25">
      <c r="B65" s="123" t="s">
        <v>16</v>
      </c>
      <c r="C65" s="240" t="s">
        <v>0</v>
      </c>
      <c r="D65" s="250">
        <f t="shared" ref="D65:O65" si="51">D54+D63+D64</f>
        <v>34522.355200000005</v>
      </c>
      <c r="E65" s="250">
        <f t="shared" si="51"/>
        <v>112723.08966560001</v>
      </c>
      <c r="F65" s="250">
        <f t="shared" si="51"/>
        <v>112833.42395526558</v>
      </c>
      <c r="G65" s="126">
        <f t="shared" si="51"/>
        <v>112943.86857922084</v>
      </c>
      <c r="H65" s="250">
        <f t="shared" si="51"/>
        <v>161034.07363390521</v>
      </c>
      <c r="I65" s="250">
        <f t="shared" si="51"/>
        <v>161191.45390753905</v>
      </c>
      <c r="J65" s="250">
        <f t="shared" si="51"/>
        <v>163217.39156144662</v>
      </c>
      <c r="K65" s="126">
        <f t="shared" si="51"/>
        <v>163375.08675300804</v>
      </c>
      <c r="L65" s="250">
        <f t="shared" si="51"/>
        <v>163532.93963976103</v>
      </c>
      <c r="M65" s="250">
        <f t="shared" si="51"/>
        <v>163690.95037940078</v>
      </c>
      <c r="N65" s="250">
        <f t="shared" si="51"/>
        <v>163849.11912978019</v>
      </c>
      <c r="O65" s="126">
        <f t="shared" si="51"/>
        <v>164007.44604890994</v>
      </c>
    </row>
    <row r="66" spans="2:26" ht="15.75" thickBot="1" x14ac:dyDescent="0.3">
      <c r="B66" s="127" t="s">
        <v>35</v>
      </c>
      <c r="C66" s="174" t="s">
        <v>15</v>
      </c>
      <c r="D66" s="128">
        <f>Инвестиции!C16</f>
        <v>14550</v>
      </c>
      <c r="E66" s="128">
        <f>Инвестиции!D16</f>
        <v>14550</v>
      </c>
      <c r="F66" s="128">
        <f>Инвестиции!E16</f>
        <v>14550</v>
      </c>
      <c r="G66" s="169">
        <f>Инвестиции!F16</f>
        <v>14550</v>
      </c>
      <c r="H66" s="128">
        <f>Инвестиции!G16</f>
        <v>8225</v>
      </c>
      <c r="I66" s="129">
        <f>Инвестиции!H16</f>
        <v>8225</v>
      </c>
      <c r="J66" s="129">
        <f>Инвестиции!I16</f>
        <v>8225</v>
      </c>
      <c r="K66" s="130">
        <f>Инвестиции!J16</f>
        <v>8225</v>
      </c>
      <c r="L66" s="179">
        <f>Инвестиции!K16</f>
        <v>8225</v>
      </c>
      <c r="M66" s="180">
        <f>Инвестиции!L16</f>
        <v>8225</v>
      </c>
      <c r="N66" s="180">
        <f>Инвестиции!M16</f>
        <v>8225</v>
      </c>
      <c r="O66" s="130">
        <f>Инвестиции!N16</f>
        <v>8225</v>
      </c>
    </row>
    <row r="67" spans="2:26" x14ac:dyDescent="0.25">
      <c r="B67" s="103" t="s">
        <v>75</v>
      </c>
      <c r="Z67" s="12"/>
    </row>
    <row r="68" spans="2:26" s="88" customFormat="1" x14ac:dyDescent="0.25">
      <c r="B68" s="95" t="s">
        <v>76</v>
      </c>
      <c r="D68" s="388">
        <v>0.2</v>
      </c>
      <c r="E68" s="388">
        <v>0.2</v>
      </c>
      <c r="F68" s="388">
        <v>0.2</v>
      </c>
      <c r="G68" s="388">
        <v>0.2</v>
      </c>
      <c r="H68" s="388">
        <v>0.2</v>
      </c>
      <c r="I68" s="388">
        <v>0.2</v>
      </c>
      <c r="J68" s="388">
        <v>0.2</v>
      </c>
      <c r="K68" s="388">
        <v>0.2</v>
      </c>
      <c r="L68" s="388">
        <v>0.2</v>
      </c>
      <c r="M68" s="388">
        <v>0.2</v>
      </c>
      <c r="N68" s="388">
        <v>0.2</v>
      </c>
      <c r="O68" s="388">
        <v>0.2</v>
      </c>
      <c r="P68" s="99"/>
      <c r="Q68" s="89"/>
      <c r="R68" s="89"/>
      <c r="S68" s="89"/>
      <c r="X68" s="87"/>
      <c r="Y68" s="87"/>
    </row>
    <row r="69" spans="2:26" s="88" customFormat="1" x14ac:dyDescent="0.25">
      <c r="B69" s="95"/>
      <c r="D69" s="73"/>
      <c r="E69" s="73"/>
      <c r="F69" s="73"/>
      <c r="G69" s="73"/>
      <c r="H69" s="73"/>
      <c r="I69" s="73"/>
      <c r="J69" s="73"/>
      <c r="K69" s="73"/>
      <c r="L69" s="73"/>
      <c r="M69" s="73"/>
      <c r="N69" s="73"/>
      <c r="O69" s="73"/>
      <c r="P69" s="73"/>
      <c r="Q69" s="89"/>
      <c r="R69" s="89"/>
      <c r="S69" s="89"/>
      <c r="X69" s="87"/>
      <c r="Y69" s="87"/>
    </row>
    <row r="70" spans="2:26" x14ac:dyDescent="0.25">
      <c r="B70" s="103" t="s">
        <v>37</v>
      </c>
      <c r="C70" s="12"/>
      <c r="D70" s="89"/>
      <c r="E70" s="89"/>
      <c r="F70" s="89"/>
      <c r="G70" s="89"/>
      <c r="H70" s="89"/>
      <c r="I70" s="89"/>
      <c r="J70" s="89"/>
      <c r="K70" s="89"/>
      <c r="L70" s="89"/>
      <c r="M70" s="89"/>
      <c r="N70" s="89"/>
      <c r="O70" s="89"/>
      <c r="P70" s="89"/>
      <c r="Q70" s="89"/>
      <c r="R70" s="12"/>
      <c r="S70" s="89"/>
    </row>
    <row r="71" spans="2:26" x14ac:dyDescent="0.25">
      <c r="B71" s="54" t="s">
        <v>77</v>
      </c>
      <c r="C71" s="12"/>
      <c r="D71" s="20">
        <v>1</v>
      </c>
      <c r="E71" s="20">
        <v>1</v>
      </c>
      <c r="F71" s="20">
        <v>1</v>
      </c>
      <c r="G71" s="20">
        <v>1</v>
      </c>
      <c r="H71" s="20">
        <v>1</v>
      </c>
      <c r="I71" s="20">
        <v>1</v>
      </c>
      <c r="J71" s="20">
        <v>1</v>
      </c>
      <c r="K71" s="20">
        <v>1</v>
      </c>
      <c r="L71" s="20">
        <v>1</v>
      </c>
      <c r="M71" s="20">
        <v>1</v>
      </c>
      <c r="N71" s="20">
        <v>1</v>
      </c>
      <c r="O71" s="20">
        <v>1</v>
      </c>
      <c r="P71" s="20"/>
      <c r="Q71" s="89"/>
      <c r="R71" s="89"/>
      <c r="S71" s="89"/>
    </row>
    <row r="72" spans="2:26" x14ac:dyDescent="0.25">
      <c r="B72" s="54" t="s">
        <v>40</v>
      </c>
      <c r="D72" s="20">
        <v>1</v>
      </c>
      <c r="E72" s="20">
        <v>1</v>
      </c>
      <c r="F72" s="20">
        <v>1</v>
      </c>
      <c r="G72" s="20">
        <v>1</v>
      </c>
      <c r="H72" s="20">
        <v>1</v>
      </c>
      <c r="I72" s="20">
        <v>1</v>
      </c>
      <c r="J72" s="20">
        <v>1</v>
      </c>
      <c r="K72" s="20">
        <v>1</v>
      </c>
      <c r="L72" s="20">
        <v>1</v>
      </c>
      <c r="M72" s="20">
        <v>1</v>
      </c>
      <c r="N72" s="20">
        <v>1</v>
      </c>
      <c r="O72" s="20">
        <v>1</v>
      </c>
      <c r="P72" s="20"/>
      <c r="Q72" s="89"/>
      <c r="R72" s="89"/>
      <c r="S72" s="89"/>
    </row>
    <row r="73" spans="2:26" x14ac:dyDescent="0.25">
      <c r="B73" s="54" t="s">
        <v>12</v>
      </c>
      <c r="C73" s="12"/>
      <c r="D73" s="20">
        <v>1</v>
      </c>
      <c r="E73" s="20">
        <v>1</v>
      </c>
      <c r="F73" s="20">
        <v>1</v>
      </c>
      <c r="G73" s="20">
        <v>1</v>
      </c>
      <c r="H73" s="20">
        <v>1</v>
      </c>
      <c r="I73" s="20">
        <v>1</v>
      </c>
      <c r="J73" s="20">
        <v>1</v>
      </c>
      <c r="K73" s="20">
        <v>1</v>
      </c>
      <c r="L73" s="20">
        <v>1</v>
      </c>
      <c r="M73" s="20">
        <v>1</v>
      </c>
      <c r="N73" s="20">
        <v>1</v>
      </c>
      <c r="O73" s="20">
        <v>1</v>
      </c>
      <c r="P73" s="20"/>
      <c r="Q73" s="89"/>
      <c r="R73" s="89"/>
      <c r="S73" s="89"/>
    </row>
    <row r="74" spans="2:26" x14ac:dyDescent="0.25">
      <c r="B74" s="54" t="s">
        <v>39</v>
      </c>
      <c r="D74" s="20">
        <v>1</v>
      </c>
      <c r="E74" s="20">
        <v>1</v>
      </c>
      <c r="F74" s="20">
        <v>1</v>
      </c>
      <c r="G74" s="20">
        <v>1</v>
      </c>
      <c r="H74" s="20">
        <v>1</v>
      </c>
      <c r="I74" s="20">
        <v>1</v>
      </c>
      <c r="J74" s="20">
        <v>1</v>
      </c>
      <c r="K74" s="20">
        <v>1</v>
      </c>
      <c r="L74" s="20">
        <v>1</v>
      </c>
      <c r="M74" s="20">
        <v>1</v>
      </c>
      <c r="N74" s="20">
        <v>1</v>
      </c>
      <c r="O74" s="20">
        <v>1</v>
      </c>
      <c r="P74" s="20"/>
      <c r="Q74" s="89"/>
      <c r="R74" s="89"/>
      <c r="S74" s="89"/>
    </row>
    <row r="75" spans="2:26" x14ac:dyDescent="0.25">
      <c r="Z75" s="12"/>
    </row>
    <row r="76" spans="2:26" x14ac:dyDescent="0.25">
      <c r="Z76" s="12"/>
    </row>
  </sheetData>
  <mergeCells count="34">
    <mergeCell ref="S38:S39"/>
    <mergeCell ref="T38:T39"/>
    <mergeCell ref="U38:U39"/>
    <mergeCell ref="V38:V39"/>
    <mergeCell ref="W4:W5"/>
    <mergeCell ref="W38:W39"/>
    <mergeCell ref="S4:S5"/>
    <mergeCell ref="T4:T5"/>
    <mergeCell ref="V4:V5"/>
    <mergeCell ref="U4:U5"/>
    <mergeCell ref="R4:R5"/>
    <mergeCell ref="R38:R39"/>
    <mergeCell ref="D4:G4"/>
    <mergeCell ref="H4:K4"/>
    <mergeCell ref="L4:O4"/>
    <mergeCell ref="H38:K38"/>
    <mergeCell ref="L38:O38"/>
    <mergeCell ref="P4:P5"/>
    <mergeCell ref="B4:B5"/>
    <mergeCell ref="C4:C5"/>
    <mergeCell ref="B38:B39"/>
    <mergeCell ref="C38:C39"/>
    <mergeCell ref="D38:G38"/>
    <mergeCell ref="W52:W53"/>
    <mergeCell ref="B52:B53"/>
    <mergeCell ref="C52:C53"/>
    <mergeCell ref="D52:G52"/>
    <mergeCell ref="H52:K52"/>
    <mergeCell ref="L52:O52"/>
    <mergeCell ref="R52:R53"/>
    <mergeCell ref="S52:S53"/>
    <mergeCell ref="T52:T53"/>
    <mergeCell ref="U52:U53"/>
    <mergeCell ref="V52:V53"/>
  </mergeCells>
  <conditionalFormatting sqref="T28:V28 D28:K28">
    <cfRule type="cellIs" dxfId="3" priority="9" operator="lessThan">
      <formula>0</formula>
    </cfRule>
  </conditionalFormatting>
  <conditionalFormatting sqref="L28:O28 T28:U28">
    <cfRule type="cellIs" dxfId="2" priority="7" operator="lessThan">
      <formula>0</formula>
    </cfRule>
  </conditionalFormatting>
  <conditionalFormatting sqref="W28">
    <cfRule type="cellIs" dxfId="1" priority="2" operator="lessThan">
      <formula>0</formula>
    </cfRule>
  </conditionalFormatting>
  <conditionalFormatting sqref="P28">
    <cfRule type="cellIs" dxfId="0" priority="1" operator="lessThan">
      <formula>0</formula>
    </cfRule>
  </conditionalFormatting>
  <pageMargins left="0.7" right="0.7" top="0.75" bottom="0.75" header="0.3" footer="0.3"/>
  <pageSetup paperSize="9" orientation="portrait" horizontalDpi="200" verticalDpi="20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4" tint="0.39997558519241921"/>
  </sheetPr>
  <dimension ref="A1:U48"/>
  <sheetViews>
    <sheetView tabSelected="1" topLeftCell="A43" zoomScale="110" zoomScaleNormal="110" workbookViewId="0">
      <selection activeCell="C50" sqref="C50"/>
    </sheetView>
  </sheetViews>
  <sheetFormatPr defaultRowHeight="15" outlineLevelCol="1" x14ac:dyDescent="0.25"/>
  <cols>
    <col min="1" max="1" width="3.140625" customWidth="1"/>
    <col min="2" max="2" width="40.28515625" style="12" bestFit="1" customWidth="1"/>
    <col min="3" max="3" width="23" style="279" customWidth="1"/>
    <col min="4" max="15" width="11.28515625" style="11" customWidth="1" outlineLevel="1"/>
    <col min="16" max="16" width="7.28515625" style="87" customWidth="1"/>
    <col min="17" max="17" width="32.5703125" style="89" customWidth="1"/>
    <col min="18" max="18" width="18.7109375" style="279" customWidth="1"/>
    <col min="19" max="19" width="11.28515625" style="11" customWidth="1"/>
    <col min="20" max="20" width="12" style="11" customWidth="1"/>
    <col min="21" max="21" width="11.28515625" style="11" customWidth="1"/>
    <col min="22" max="22" width="44.7109375" customWidth="1"/>
  </cols>
  <sheetData>
    <row r="1" spans="1:21" ht="15.75" thickBot="1" x14ac:dyDescent="0.3"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</row>
    <row r="2" spans="1:21" s="87" customFormat="1" ht="15.75" thickBot="1" x14ac:dyDescent="0.3">
      <c r="B2" s="509" t="s">
        <v>137</v>
      </c>
      <c r="C2" s="509" t="s">
        <v>11</v>
      </c>
      <c r="D2" s="494" t="s">
        <v>81</v>
      </c>
      <c r="E2" s="495"/>
      <c r="F2" s="495"/>
      <c r="G2" s="495"/>
      <c r="H2" s="494" t="s">
        <v>82</v>
      </c>
      <c r="I2" s="495"/>
      <c r="J2" s="495"/>
      <c r="K2" s="495"/>
      <c r="L2" s="494" t="s">
        <v>83</v>
      </c>
      <c r="M2" s="495"/>
      <c r="N2" s="495"/>
      <c r="O2" s="496"/>
      <c r="Q2" s="509" t="s">
        <v>137</v>
      </c>
      <c r="R2" s="509" t="s">
        <v>11</v>
      </c>
      <c r="S2" s="514" t="s">
        <v>113</v>
      </c>
      <c r="T2" s="514" t="s">
        <v>82</v>
      </c>
      <c r="U2" s="497" t="s">
        <v>83</v>
      </c>
    </row>
    <row r="3" spans="1:21" ht="15.75" thickBot="1" x14ac:dyDescent="0.3">
      <c r="B3" s="510"/>
      <c r="C3" s="510"/>
      <c r="D3" s="251" t="s">
        <v>112</v>
      </c>
      <c r="E3" s="252" t="s">
        <v>99</v>
      </c>
      <c r="F3" s="252" t="s">
        <v>100</v>
      </c>
      <c r="G3" s="270" t="s">
        <v>101</v>
      </c>
      <c r="H3" s="251" t="s">
        <v>102</v>
      </c>
      <c r="I3" s="252" t="s">
        <v>103</v>
      </c>
      <c r="J3" s="252" t="s">
        <v>104</v>
      </c>
      <c r="K3" s="270" t="s">
        <v>105</v>
      </c>
      <c r="L3" s="251" t="s">
        <v>106</v>
      </c>
      <c r="M3" s="252" t="s">
        <v>107</v>
      </c>
      <c r="N3" s="252" t="s">
        <v>108</v>
      </c>
      <c r="O3" s="253" t="s">
        <v>109</v>
      </c>
      <c r="Q3" s="510"/>
      <c r="R3" s="510"/>
      <c r="S3" s="515"/>
      <c r="T3" s="515"/>
      <c r="U3" s="498"/>
    </row>
    <row r="4" spans="1:21" s="87" customFormat="1" ht="25.5" x14ac:dyDescent="0.25">
      <c r="B4" s="400" t="s">
        <v>153</v>
      </c>
      <c r="C4" s="393"/>
      <c r="D4" s="394"/>
      <c r="E4" s="395"/>
      <c r="F4" s="395"/>
      <c r="G4" s="396"/>
      <c r="H4" s="394"/>
      <c r="I4" s="395"/>
      <c r="J4" s="395"/>
      <c r="K4" s="396"/>
      <c r="L4" s="394"/>
      <c r="M4" s="395"/>
      <c r="N4" s="395"/>
      <c r="O4" s="397"/>
      <c r="Q4" s="400" t="str">
        <f>B4</f>
        <v>Продукция (Услуги / Работы) №1 (пек)</v>
      </c>
      <c r="R4" s="393"/>
      <c r="S4" s="398"/>
      <c r="T4" s="398"/>
      <c r="U4" s="399"/>
    </row>
    <row r="5" spans="1:21" x14ac:dyDescent="0.25">
      <c r="B5" s="409" t="s">
        <v>121</v>
      </c>
      <c r="C5" s="280" t="s">
        <v>63</v>
      </c>
      <c r="D5" s="267">
        <v>3600</v>
      </c>
      <c r="E5" s="65">
        <v>10800</v>
      </c>
      <c r="F5" s="65">
        <v>10800</v>
      </c>
      <c r="G5" s="65">
        <v>10800</v>
      </c>
      <c r="H5" s="274">
        <v>15500</v>
      </c>
      <c r="I5" s="274">
        <v>15500</v>
      </c>
      <c r="J5" s="274">
        <v>15500</v>
      </c>
      <c r="K5" s="274">
        <v>15500</v>
      </c>
      <c r="L5" s="274">
        <v>15500</v>
      </c>
      <c r="M5" s="274">
        <v>15500</v>
      </c>
      <c r="N5" s="274">
        <v>15500</v>
      </c>
      <c r="O5" s="274">
        <v>15500</v>
      </c>
      <c r="Q5" s="409" t="str">
        <f>B5</f>
        <v>Объем реализации</v>
      </c>
      <c r="R5" s="280" t="s">
        <v>63</v>
      </c>
      <c r="S5" s="272">
        <f>SUM(D5:G5)</f>
        <v>36000</v>
      </c>
      <c r="T5" s="272">
        <f>SUM(H5:K5)</f>
        <v>62000</v>
      </c>
      <c r="U5" s="269">
        <f>SUM(L5:O5)</f>
        <v>62000</v>
      </c>
    </row>
    <row r="6" spans="1:21" x14ac:dyDescent="0.25">
      <c r="B6" s="410" t="s">
        <v>119</v>
      </c>
      <c r="C6" s="280" t="s">
        <v>61</v>
      </c>
      <c r="D6" s="341">
        <v>22800</v>
      </c>
      <c r="E6" s="342">
        <f>D6*(1+E7)</f>
        <v>22822.799999999999</v>
      </c>
      <c r="F6" s="343">
        <f t="shared" ref="F6:O6" si="0">E6*(1+F7)</f>
        <v>22845.622799999997</v>
      </c>
      <c r="G6" s="344">
        <f t="shared" si="0"/>
        <v>22868.468422799993</v>
      </c>
      <c r="H6" s="345">
        <f t="shared" si="0"/>
        <v>22891.336891222792</v>
      </c>
      <c r="I6" s="346">
        <f t="shared" si="0"/>
        <v>22914.228228114014</v>
      </c>
      <c r="J6" s="346">
        <f t="shared" si="0"/>
        <v>22937.142456342124</v>
      </c>
      <c r="K6" s="347">
        <f t="shared" si="0"/>
        <v>22960.079598798464</v>
      </c>
      <c r="L6" s="348">
        <f t="shared" si="0"/>
        <v>22983.039678397261</v>
      </c>
      <c r="M6" s="342">
        <f t="shared" si="0"/>
        <v>23006.022718075656</v>
      </c>
      <c r="N6" s="342">
        <f t="shared" si="0"/>
        <v>23029.028740793729</v>
      </c>
      <c r="O6" s="349">
        <f t="shared" si="0"/>
        <v>23052.05776953452</v>
      </c>
      <c r="Q6" s="410" t="str">
        <f t="shared" ref="Q6:Q7" si="1">B6</f>
        <v>Средняя цена (без НДС)</v>
      </c>
      <c r="R6" s="280" t="s">
        <v>61</v>
      </c>
      <c r="S6" s="272">
        <f>IFERROR(S8/#REF!*1000,0)</f>
        <v>0</v>
      </c>
      <c r="T6" s="413">
        <f>IFERROR(T8/#REF!*1000,0)</f>
        <v>0</v>
      </c>
      <c r="U6" s="414">
        <f>IFERROR(U8/#REF!*1000,0)</f>
        <v>0</v>
      </c>
    </row>
    <row r="7" spans="1:21" x14ac:dyDescent="0.25">
      <c r="B7" s="409" t="s">
        <v>120</v>
      </c>
      <c r="C7" s="280" t="s">
        <v>62</v>
      </c>
      <c r="D7" s="457">
        <v>1E-3</v>
      </c>
      <c r="E7" s="457">
        <v>1E-3</v>
      </c>
      <c r="F7" s="457">
        <v>1E-3</v>
      </c>
      <c r="G7" s="457">
        <v>1E-3</v>
      </c>
      <c r="H7" s="457">
        <v>1E-3</v>
      </c>
      <c r="I7" s="457">
        <v>1E-3</v>
      </c>
      <c r="J7" s="457">
        <v>1E-3</v>
      </c>
      <c r="K7" s="457">
        <v>1E-3</v>
      </c>
      <c r="L7" s="457">
        <v>1E-3</v>
      </c>
      <c r="M7" s="457">
        <v>1E-3</v>
      </c>
      <c r="N7" s="457">
        <v>1E-3</v>
      </c>
      <c r="O7" s="457">
        <v>1E-3</v>
      </c>
      <c r="Q7" s="409" t="str">
        <f t="shared" si="1"/>
        <v>Прирост цены, в %</v>
      </c>
      <c r="R7" s="280" t="s">
        <v>62</v>
      </c>
      <c r="S7" s="415"/>
      <c r="T7" s="415">
        <f>IFERROR(T6/S6,0)</f>
        <v>0</v>
      </c>
      <c r="U7" s="416">
        <f>IFERROR(U6/T6,0)</f>
        <v>0</v>
      </c>
    </row>
    <row r="8" spans="1:21" ht="24.75" thickBot="1" x14ac:dyDescent="0.3">
      <c r="B8" s="411" t="s">
        <v>122</v>
      </c>
      <c r="C8" s="412" t="s">
        <v>15</v>
      </c>
      <c r="D8" s="275">
        <f>D5*D6/1000</f>
        <v>82080</v>
      </c>
      <c r="E8" s="276">
        <f>E5*E6/1000</f>
        <v>246486.24</v>
      </c>
      <c r="F8" s="276">
        <f t="shared" ref="F8:O8" si="2">F5*F6/1000</f>
        <v>246732.72623999999</v>
      </c>
      <c r="G8" s="277">
        <f t="shared" si="2"/>
        <v>246979.45896623994</v>
      </c>
      <c r="H8" s="275">
        <f t="shared" si="2"/>
        <v>354815.72181395331</v>
      </c>
      <c r="I8" s="276">
        <f t="shared" si="2"/>
        <v>355170.53753576719</v>
      </c>
      <c r="J8" s="276">
        <f t="shared" si="2"/>
        <v>355525.70807330293</v>
      </c>
      <c r="K8" s="277">
        <f t="shared" si="2"/>
        <v>355881.23378137616</v>
      </c>
      <c r="L8" s="275">
        <f t="shared" si="2"/>
        <v>356237.1150151575</v>
      </c>
      <c r="M8" s="276">
        <f t="shared" si="2"/>
        <v>356593.35213017266</v>
      </c>
      <c r="N8" s="276">
        <f t="shared" si="2"/>
        <v>356949.94548230281</v>
      </c>
      <c r="O8" s="278">
        <f t="shared" si="2"/>
        <v>357306.89542778506</v>
      </c>
      <c r="Q8" s="417" t="str">
        <f>B8</f>
        <v>Выручка от реализации без НДС - Продукция (Услуги / Работы) №1</v>
      </c>
      <c r="R8" s="412" t="s">
        <v>15</v>
      </c>
      <c r="S8" s="418">
        <f>SUM(D8:G8)</f>
        <v>822278.42520623992</v>
      </c>
      <c r="T8" s="418">
        <f>SUM(H8:K8)</f>
        <v>1421393.2012043996</v>
      </c>
      <c r="U8" s="419">
        <f>SUM(L8:O8)</f>
        <v>1427087.3080554181</v>
      </c>
    </row>
    <row r="9" spans="1:21" ht="25.5" x14ac:dyDescent="0.25">
      <c r="A9" s="87"/>
      <c r="B9" s="400" t="s">
        <v>154</v>
      </c>
      <c r="C9" s="393"/>
      <c r="D9" s="394"/>
      <c r="E9" s="395"/>
      <c r="F9" s="395"/>
      <c r="G9" s="396"/>
      <c r="H9" s="394"/>
      <c r="I9" s="395"/>
      <c r="J9" s="395"/>
      <c r="K9" s="396"/>
      <c r="L9" s="394"/>
      <c r="M9" s="395"/>
      <c r="N9" s="395"/>
      <c r="O9" s="397"/>
      <c r="Q9" s="400" t="str">
        <f>B9</f>
        <v>Продукция (Услуги / Работы) №2 (масла)</v>
      </c>
      <c r="R9" s="393"/>
      <c r="S9" s="398"/>
      <c r="T9" s="398"/>
      <c r="U9" s="399"/>
    </row>
    <row r="10" spans="1:21" s="87" customFormat="1" x14ac:dyDescent="0.25">
      <c r="B10" s="409" t="s">
        <v>121</v>
      </c>
      <c r="C10" s="280" t="s">
        <v>63</v>
      </c>
      <c r="D10" s="267">
        <v>3400</v>
      </c>
      <c r="E10" s="65">
        <v>10200</v>
      </c>
      <c r="F10" s="65">
        <v>10200</v>
      </c>
      <c r="G10" s="65">
        <v>10200</v>
      </c>
      <c r="H10" s="274">
        <v>14400</v>
      </c>
      <c r="I10" s="274">
        <v>14400</v>
      </c>
      <c r="J10" s="274">
        <v>14400</v>
      </c>
      <c r="K10" s="274">
        <v>14400</v>
      </c>
      <c r="L10" s="274">
        <v>14400</v>
      </c>
      <c r="M10" s="274">
        <v>14400</v>
      </c>
      <c r="N10" s="274">
        <v>14400</v>
      </c>
      <c r="O10" s="274">
        <v>14400</v>
      </c>
      <c r="Q10" s="409" t="str">
        <f>B10</f>
        <v>Объем реализации</v>
      </c>
      <c r="R10" s="280" t="s">
        <v>63</v>
      </c>
      <c r="S10" s="272">
        <f>SUM(D10:G10)</f>
        <v>34000</v>
      </c>
      <c r="T10" s="272">
        <f>SUM(H10:K10)</f>
        <v>57600</v>
      </c>
      <c r="U10" s="269">
        <f>SUM(L10:O10)</f>
        <v>57600</v>
      </c>
    </row>
    <row r="11" spans="1:21" x14ac:dyDescent="0.25">
      <c r="B11" s="410" t="s">
        <v>119</v>
      </c>
      <c r="C11" s="280" t="s">
        <v>61</v>
      </c>
      <c r="D11" s="341">
        <v>30436</v>
      </c>
      <c r="E11" s="342">
        <f>D11*(1+E12)</f>
        <v>30466.435999999998</v>
      </c>
      <c r="F11" s="343">
        <f t="shared" ref="F11" si="3">E11*(1+F12)</f>
        <v>30496.902435999993</v>
      </c>
      <c r="G11" s="344">
        <f t="shared" ref="G11" si="4">F11*(1+G12)</f>
        <v>30527.399338435989</v>
      </c>
      <c r="H11" s="345">
        <f t="shared" ref="H11" si="5">G11*(1+H12)</f>
        <v>30557.926737774422</v>
      </c>
      <c r="I11" s="346">
        <f t="shared" ref="I11" si="6">H11*(1+I12)</f>
        <v>30588.484664512194</v>
      </c>
      <c r="J11" s="346">
        <f t="shared" ref="J11" si="7">I11*(1+J12)</f>
        <v>30619.073149176704</v>
      </c>
      <c r="K11" s="347">
        <f t="shared" ref="K11" si="8">J11*(1+K12)</f>
        <v>30649.692222325877</v>
      </c>
      <c r="L11" s="348">
        <f t="shared" ref="L11" si="9">K11*(1+L12)</f>
        <v>30680.3419145482</v>
      </c>
      <c r="M11" s="342">
        <f t="shared" ref="M11" si="10">L11*(1+M12)</f>
        <v>30711.022256462744</v>
      </c>
      <c r="N11" s="342">
        <f t="shared" ref="N11" si="11">M11*(1+N12)</f>
        <v>30741.733278719203</v>
      </c>
      <c r="O11" s="349">
        <f t="shared" ref="O11" si="12">N11*(1+O12)</f>
        <v>30772.475011997918</v>
      </c>
      <c r="Q11" s="410" t="str">
        <f t="shared" ref="Q11:Q12" si="13">B11</f>
        <v>Средняя цена (без НДС)</v>
      </c>
      <c r="R11" s="280" t="s">
        <v>61</v>
      </c>
      <c r="S11" s="272">
        <f>IFERROR(S13/#REF!*1000,0)</f>
        <v>0</v>
      </c>
      <c r="T11" s="413">
        <f>IFERROR(T13/#REF!*1000,0)</f>
        <v>0</v>
      </c>
      <c r="U11" s="414">
        <f>IFERROR(U13/#REF!*1000,0)</f>
        <v>0</v>
      </c>
    </row>
    <row r="12" spans="1:21" x14ac:dyDescent="0.25">
      <c r="B12" s="409" t="s">
        <v>120</v>
      </c>
      <c r="C12" s="280" t="s">
        <v>62</v>
      </c>
      <c r="D12" s="457">
        <v>1E-3</v>
      </c>
      <c r="E12" s="457">
        <v>1E-3</v>
      </c>
      <c r="F12" s="457">
        <v>1E-3</v>
      </c>
      <c r="G12" s="457">
        <v>1E-3</v>
      </c>
      <c r="H12" s="457">
        <v>1E-3</v>
      </c>
      <c r="I12" s="457">
        <v>1E-3</v>
      </c>
      <c r="J12" s="457">
        <v>1E-3</v>
      </c>
      <c r="K12" s="457">
        <v>1E-3</v>
      </c>
      <c r="L12" s="457">
        <v>1E-3</v>
      </c>
      <c r="M12" s="457">
        <v>1E-3</v>
      </c>
      <c r="N12" s="457">
        <v>1E-3</v>
      </c>
      <c r="O12" s="457">
        <v>1E-3</v>
      </c>
      <c r="Q12" s="409" t="str">
        <f t="shared" si="13"/>
        <v>Прирост цены, в %</v>
      </c>
      <c r="R12" s="280" t="s">
        <v>62</v>
      </c>
      <c r="S12" s="415"/>
      <c r="T12" s="415">
        <f>IFERROR(T11/S11,0)</f>
        <v>0</v>
      </c>
      <c r="U12" s="416">
        <f>IFERROR(U11/T11,0)</f>
        <v>0</v>
      </c>
    </row>
    <row r="13" spans="1:21" ht="24.75" thickBot="1" x14ac:dyDescent="0.3">
      <c r="B13" s="411" t="s">
        <v>123</v>
      </c>
      <c r="C13" s="412" t="s">
        <v>15</v>
      </c>
      <c r="D13" s="275">
        <f>D10*D11/1000</f>
        <v>103482.4</v>
      </c>
      <c r="E13" s="276">
        <f t="shared" ref="E13:O13" si="14">E10*E11/1000</f>
        <v>310757.64720000001</v>
      </c>
      <c r="F13" s="276">
        <f t="shared" si="14"/>
        <v>311068.40484719991</v>
      </c>
      <c r="G13" s="277">
        <f t="shared" si="14"/>
        <v>311379.47325204709</v>
      </c>
      <c r="H13" s="275">
        <f t="shared" si="14"/>
        <v>440034.14502395166</v>
      </c>
      <c r="I13" s="276">
        <f t="shared" si="14"/>
        <v>440474.17916897556</v>
      </c>
      <c r="J13" s="276">
        <f t="shared" si="14"/>
        <v>440914.65334814455</v>
      </c>
      <c r="K13" s="277">
        <f t="shared" si="14"/>
        <v>441355.56800149265</v>
      </c>
      <c r="L13" s="275">
        <f t="shared" si="14"/>
        <v>441796.92356949404</v>
      </c>
      <c r="M13" s="276">
        <f t="shared" si="14"/>
        <v>442238.72049306351</v>
      </c>
      <c r="N13" s="276">
        <f t="shared" si="14"/>
        <v>442680.95921355655</v>
      </c>
      <c r="O13" s="278">
        <f t="shared" si="14"/>
        <v>443123.64017277001</v>
      </c>
      <c r="Q13" s="411" t="str">
        <f>B13</f>
        <v>Выручка от реализации без НДС - Продукция (Услуги / Работы) №2</v>
      </c>
      <c r="R13" s="412" t="s">
        <v>15</v>
      </c>
      <c r="S13" s="418">
        <f>SUM(D13:G13)</f>
        <v>1036687.925299247</v>
      </c>
      <c r="T13" s="418">
        <f>SUM(H13:K13)</f>
        <v>1762778.5455425645</v>
      </c>
      <c r="U13" s="419">
        <f>SUM(L13:O13)</f>
        <v>1769840.243448884</v>
      </c>
    </row>
    <row r="14" spans="1:21" x14ac:dyDescent="0.25">
      <c r="B14" s="400" t="s">
        <v>124</v>
      </c>
      <c r="C14" s="393"/>
      <c r="D14" s="394"/>
      <c r="E14" s="395"/>
      <c r="F14" s="395"/>
      <c r="G14" s="396"/>
      <c r="H14" s="394"/>
      <c r="I14" s="395"/>
      <c r="J14" s="395"/>
      <c r="K14" s="396"/>
      <c r="L14" s="394"/>
      <c r="M14" s="395"/>
      <c r="N14" s="395"/>
      <c r="O14" s="397"/>
      <c r="Q14" s="400" t="str">
        <f>B14</f>
        <v>Продукция (Услуги / Работы) №3</v>
      </c>
      <c r="R14" s="393"/>
      <c r="S14" s="398"/>
      <c r="T14" s="398"/>
      <c r="U14" s="399"/>
    </row>
    <row r="15" spans="1:21" x14ac:dyDescent="0.25">
      <c r="B15" s="409" t="s">
        <v>121</v>
      </c>
      <c r="C15" s="280" t="s">
        <v>63</v>
      </c>
      <c r="D15" s="267"/>
      <c r="E15" s="65"/>
      <c r="F15" s="273"/>
      <c r="G15" s="64"/>
      <c r="H15" s="274"/>
      <c r="I15" s="65"/>
      <c r="J15" s="273"/>
      <c r="K15" s="64"/>
      <c r="L15" s="274"/>
      <c r="M15" s="65"/>
      <c r="N15" s="65"/>
      <c r="O15" s="268"/>
      <c r="Q15" s="409" t="str">
        <f>B15</f>
        <v>Объем реализации</v>
      </c>
      <c r="R15" s="280" t="s">
        <v>63</v>
      </c>
      <c r="S15" s="272">
        <f>SUM(D15:G15)</f>
        <v>0</v>
      </c>
      <c r="T15" s="272">
        <f>SUM(H15:K15)</f>
        <v>0</v>
      </c>
      <c r="U15" s="269">
        <f>SUM(L15:O15)</f>
        <v>0</v>
      </c>
    </row>
    <row r="16" spans="1:21" x14ac:dyDescent="0.25">
      <c r="B16" s="410" t="s">
        <v>119</v>
      </c>
      <c r="C16" s="280" t="s">
        <v>61</v>
      </c>
      <c r="D16" s="341"/>
      <c r="E16" s="342">
        <f>D16*(1+E17)</f>
        <v>0</v>
      </c>
      <c r="F16" s="343">
        <f t="shared" ref="F16" si="15">E16*(1+F17)</f>
        <v>0</v>
      </c>
      <c r="G16" s="344">
        <f t="shared" ref="G16" si="16">F16*(1+G17)</f>
        <v>0</v>
      </c>
      <c r="H16" s="345">
        <f t="shared" ref="H16" si="17">G16*(1+H17)</f>
        <v>0</v>
      </c>
      <c r="I16" s="346">
        <f t="shared" ref="I16" si="18">H16*(1+I17)</f>
        <v>0</v>
      </c>
      <c r="J16" s="346">
        <f t="shared" ref="J16" si="19">I16*(1+J17)</f>
        <v>0</v>
      </c>
      <c r="K16" s="347">
        <f t="shared" ref="K16" si="20">J16*(1+K17)</f>
        <v>0</v>
      </c>
      <c r="L16" s="348">
        <f t="shared" ref="L16" si="21">K16*(1+L17)</f>
        <v>0</v>
      </c>
      <c r="M16" s="342">
        <f t="shared" ref="M16" si="22">L16*(1+M17)</f>
        <v>0</v>
      </c>
      <c r="N16" s="342">
        <f t="shared" ref="N16" si="23">M16*(1+N17)</f>
        <v>0</v>
      </c>
      <c r="O16" s="349">
        <f t="shared" ref="O16" si="24">N16*(1+O17)</f>
        <v>0</v>
      </c>
      <c r="Q16" s="410" t="str">
        <f t="shared" ref="Q16:Q17" si="25">B16</f>
        <v>Средняя цена (без НДС)</v>
      </c>
      <c r="R16" s="280" t="s">
        <v>61</v>
      </c>
      <c r="S16" s="272">
        <f>IFERROR(S18/#REF!*1000,0)</f>
        <v>0</v>
      </c>
      <c r="T16" s="413">
        <f>IFERROR(T18/#REF!*1000,0)</f>
        <v>0</v>
      </c>
      <c r="U16" s="414">
        <f>IFERROR(U18/#REF!*1000,0)</f>
        <v>0</v>
      </c>
    </row>
    <row r="17" spans="2:21" x14ac:dyDescent="0.25">
      <c r="B17" s="409" t="s">
        <v>120</v>
      </c>
      <c r="C17" s="280" t="s">
        <v>62</v>
      </c>
      <c r="D17" s="405"/>
      <c r="E17" s="406"/>
      <c r="F17" s="406"/>
      <c r="G17" s="407"/>
      <c r="H17" s="405"/>
      <c r="I17" s="406"/>
      <c r="J17" s="406"/>
      <c r="K17" s="407"/>
      <c r="L17" s="405"/>
      <c r="M17" s="406"/>
      <c r="N17" s="406"/>
      <c r="O17" s="408"/>
      <c r="Q17" s="409" t="str">
        <f t="shared" si="25"/>
        <v>Прирост цены, в %</v>
      </c>
      <c r="R17" s="280" t="s">
        <v>62</v>
      </c>
      <c r="S17" s="415"/>
      <c r="T17" s="415">
        <f>IFERROR(T16/S16,0)</f>
        <v>0</v>
      </c>
      <c r="U17" s="416">
        <f>IFERROR(U16/T16,0)</f>
        <v>0</v>
      </c>
    </row>
    <row r="18" spans="2:21" ht="24.75" thickBot="1" x14ac:dyDescent="0.3">
      <c r="B18" s="411" t="s">
        <v>125</v>
      </c>
      <c r="C18" s="412" t="s">
        <v>15</v>
      </c>
      <c r="D18" s="275">
        <f>D15*D16/1000</f>
        <v>0</v>
      </c>
      <c r="E18" s="276">
        <f t="shared" ref="E18:O18" si="26">E15*E16/1000</f>
        <v>0</v>
      </c>
      <c r="F18" s="276">
        <f t="shared" si="26"/>
        <v>0</v>
      </c>
      <c r="G18" s="277">
        <f t="shared" si="26"/>
        <v>0</v>
      </c>
      <c r="H18" s="275">
        <f t="shared" si="26"/>
        <v>0</v>
      </c>
      <c r="I18" s="276">
        <f t="shared" si="26"/>
        <v>0</v>
      </c>
      <c r="J18" s="276">
        <f t="shared" si="26"/>
        <v>0</v>
      </c>
      <c r="K18" s="277">
        <f t="shared" si="26"/>
        <v>0</v>
      </c>
      <c r="L18" s="275">
        <f t="shared" si="26"/>
        <v>0</v>
      </c>
      <c r="M18" s="276">
        <f t="shared" si="26"/>
        <v>0</v>
      </c>
      <c r="N18" s="276">
        <f t="shared" si="26"/>
        <v>0</v>
      </c>
      <c r="O18" s="278">
        <f t="shared" si="26"/>
        <v>0</v>
      </c>
      <c r="Q18" s="411" t="str">
        <f>B18</f>
        <v>Выручка от реализации без НДС - Продукция (Услуги / Работы) №3</v>
      </c>
      <c r="R18" s="412" t="s">
        <v>15</v>
      </c>
      <c r="S18" s="418">
        <f>SUM(D18:G18)</f>
        <v>0</v>
      </c>
      <c r="T18" s="418">
        <f>SUM(H18:K18)</f>
        <v>0</v>
      </c>
      <c r="U18" s="419">
        <f>SUM(L18:O18)</f>
        <v>0</v>
      </c>
    </row>
    <row r="19" spans="2:21" x14ac:dyDescent="0.25">
      <c r="B19" s="400" t="s">
        <v>9</v>
      </c>
      <c r="C19" s="393"/>
      <c r="D19" s="394"/>
      <c r="E19" s="395"/>
      <c r="F19" s="395"/>
      <c r="G19" s="396"/>
      <c r="H19" s="394"/>
      <c r="I19" s="395"/>
      <c r="J19" s="395"/>
      <c r="K19" s="396"/>
      <c r="L19" s="394"/>
      <c r="M19" s="395"/>
      <c r="N19" s="395"/>
      <c r="O19" s="397"/>
      <c r="Q19" s="400" t="str">
        <f>B19</f>
        <v>Итого</v>
      </c>
      <c r="R19" s="393"/>
      <c r="S19" s="398"/>
      <c r="T19" s="398"/>
      <c r="U19" s="399"/>
    </row>
    <row r="20" spans="2:21" x14ac:dyDescent="0.25">
      <c r="B20" s="409" t="s">
        <v>121</v>
      </c>
      <c r="C20" s="280" t="s">
        <v>63</v>
      </c>
      <c r="D20" s="271">
        <f>D5+D10+D15</f>
        <v>7000</v>
      </c>
      <c r="E20" s="272">
        <f t="shared" ref="E20:O20" si="27">E5+E10+E15</f>
        <v>21000</v>
      </c>
      <c r="F20" s="401">
        <f t="shared" si="27"/>
        <v>21000</v>
      </c>
      <c r="G20" s="402">
        <f t="shared" si="27"/>
        <v>21000</v>
      </c>
      <c r="H20" s="403">
        <f t="shared" si="27"/>
        <v>29900</v>
      </c>
      <c r="I20" s="272">
        <f t="shared" si="27"/>
        <v>29900</v>
      </c>
      <c r="J20" s="401">
        <f t="shared" si="27"/>
        <v>29900</v>
      </c>
      <c r="K20" s="402">
        <f t="shared" si="27"/>
        <v>29900</v>
      </c>
      <c r="L20" s="403">
        <f t="shared" si="27"/>
        <v>29900</v>
      </c>
      <c r="M20" s="272">
        <f t="shared" si="27"/>
        <v>29900</v>
      </c>
      <c r="N20" s="272">
        <f t="shared" si="27"/>
        <v>29900</v>
      </c>
      <c r="O20" s="269">
        <f t="shared" si="27"/>
        <v>29900</v>
      </c>
      <c r="Q20" s="409" t="str">
        <f>B20</f>
        <v>Объем реализации</v>
      </c>
      <c r="R20" s="280" t="s">
        <v>63</v>
      </c>
      <c r="S20" s="272">
        <f>SUM(D20:G20)</f>
        <v>70000</v>
      </c>
      <c r="T20" s="272">
        <f>SUM(H20:K20)</f>
        <v>119600</v>
      </c>
      <c r="U20" s="269">
        <f>SUM(L20:O20)</f>
        <v>119600</v>
      </c>
    </row>
    <row r="21" spans="2:21" x14ac:dyDescent="0.25">
      <c r="B21" s="410" t="s">
        <v>119</v>
      </c>
      <c r="C21" s="280" t="s">
        <v>61</v>
      </c>
      <c r="D21" s="404"/>
      <c r="E21" s="272">
        <f>IFERROR(E23/E20,0)</f>
        <v>26.5354232</v>
      </c>
      <c r="F21" s="401">
        <f t="shared" ref="F21:O21" si="28">IFERROR(F23/F20,0)</f>
        <v>26.561958623199995</v>
      </c>
      <c r="G21" s="402">
        <f t="shared" si="28"/>
        <v>26.588520581823193</v>
      </c>
      <c r="H21" s="403">
        <f t="shared" si="28"/>
        <v>26.583607586552006</v>
      </c>
      <c r="I21" s="272">
        <f t="shared" si="28"/>
        <v>26.610191194138554</v>
      </c>
      <c r="J21" s="272">
        <f t="shared" si="28"/>
        <v>26.636801385332692</v>
      </c>
      <c r="K21" s="71">
        <f t="shared" si="28"/>
        <v>26.663438186718022</v>
      </c>
      <c r="L21" s="271">
        <f t="shared" si="28"/>
        <v>26.690101624904734</v>
      </c>
      <c r="M21" s="272">
        <f t="shared" si="28"/>
        <v>26.716791726529635</v>
      </c>
      <c r="N21" s="272">
        <f t="shared" si="28"/>
        <v>26.743508518256167</v>
      </c>
      <c r="O21" s="269">
        <f t="shared" si="28"/>
        <v>26.770252026774418</v>
      </c>
      <c r="Q21" s="410" t="str">
        <f t="shared" ref="Q21:Q22" si="29">B21</f>
        <v>Средняя цена (без НДС)</v>
      </c>
      <c r="R21" s="280" t="s">
        <v>61</v>
      </c>
      <c r="S21" s="272">
        <f>IFERROR(S23/#REF!*1000,0)</f>
        <v>0</v>
      </c>
      <c r="T21" s="413">
        <f>IFERROR(T23/#REF!*1000,0)</f>
        <v>0</v>
      </c>
      <c r="U21" s="414">
        <f>IFERROR(U23/#REF!*1000,0)</f>
        <v>0</v>
      </c>
    </row>
    <row r="22" spans="2:21" x14ac:dyDescent="0.25">
      <c r="B22" s="409" t="s">
        <v>120</v>
      </c>
      <c r="C22" s="280" t="s">
        <v>62</v>
      </c>
      <c r="D22" s="405"/>
      <c r="E22" s="406"/>
      <c r="F22" s="406"/>
      <c r="G22" s="407"/>
      <c r="H22" s="405"/>
      <c r="I22" s="406"/>
      <c r="J22" s="406"/>
      <c r="K22" s="407"/>
      <c r="L22" s="405"/>
      <c r="M22" s="406"/>
      <c r="N22" s="406"/>
      <c r="O22" s="408"/>
      <c r="Q22" s="409" t="str">
        <f t="shared" si="29"/>
        <v>Прирост цены, в %</v>
      </c>
      <c r="R22" s="280" t="s">
        <v>62</v>
      </c>
      <c r="S22" s="415"/>
      <c r="T22" s="415">
        <f>IFERROR(T21/S21,0)</f>
        <v>0</v>
      </c>
      <c r="U22" s="416">
        <f>IFERROR(U21/T21,0)</f>
        <v>0</v>
      </c>
    </row>
    <row r="23" spans="2:21" ht="24.75" thickBot="1" x14ac:dyDescent="0.3">
      <c r="B23" s="411" t="s">
        <v>126</v>
      </c>
      <c r="C23" s="412" t="s">
        <v>15</v>
      </c>
      <c r="D23" s="275">
        <f>D8+D13+D18</f>
        <v>185562.4</v>
      </c>
      <c r="E23" s="276">
        <f t="shared" ref="E23:O23" si="30">E8+E13+E18</f>
        <v>557243.8872</v>
      </c>
      <c r="F23" s="276">
        <f t="shared" si="30"/>
        <v>557801.1310871999</v>
      </c>
      <c r="G23" s="277">
        <f t="shared" si="30"/>
        <v>558358.93221828702</v>
      </c>
      <c r="H23" s="275">
        <f t="shared" si="30"/>
        <v>794849.86683790502</v>
      </c>
      <c r="I23" s="276">
        <f t="shared" si="30"/>
        <v>795644.71670474275</v>
      </c>
      <c r="J23" s="276">
        <f t="shared" si="30"/>
        <v>796440.36142144748</v>
      </c>
      <c r="K23" s="277">
        <f t="shared" si="30"/>
        <v>797236.8017828688</v>
      </c>
      <c r="L23" s="275">
        <f t="shared" si="30"/>
        <v>798034.03858465154</v>
      </c>
      <c r="M23" s="276">
        <f t="shared" si="30"/>
        <v>798832.0726232361</v>
      </c>
      <c r="N23" s="276">
        <f t="shared" si="30"/>
        <v>799630.90469585941</v>
      </c>
      <c r="O23" s="278">
        <f t="shared" si="30"/>
        <v>800430.53560055513</v>
      </c>
      <c r="Q23" s="411" t="str">
        <f>B23</f>
        <v>Выручка от реализации без НДС - Итого</v>
      </c>
      <c r="R23" s="412" t="s">
        <v>15</v>
      </c>
      <c r="S23" s="418">
        <f>SUM(D23:G23)</f>
        <v>1858966.3505054871</v>
      </c>
      <c r="T23" s="418">
        <f>SUM(H23:K23)</f>
        <v>3184171.7467469638</v>
      </c>
      <c r="U23" s="419">
        <f>SUM(L23:O23)</f>
        <v>3196927.5515043018</v>
      </c>
    </row>
    <row r="24" spans="2:21" x14ac:dyDescent="0.25">
      <c r="B24" s="87"/>
      <c r="C24" s="87"/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Q24" s="87"/>
      <c r="R24" s="87"/>
      <c r="S24" s="87"/>
      <c r="T24" s="87"/>
      <c r="U24" s="87"/>
    </row>
    <row r="25" spans="2:21" x14ac:dyDescent="0.25">
      <c r="B25" s="459" t="s">
        <v>159</v>
      </c>
      <c r="C25" s="458"/>
      <c r="D25" s="458"/>
      <c r="E25" s="458"/>
      <c r="F25" s="458"/>
      <c r="G25" s="87"/>
      <c r="H25" s="87"/>
      <c r="I25" s="87"/>
      <c r="J25" s="87"/>
      <c r="K25" s="87"/>
      <c r="L25" s="87"/>
      <c r="M25" s="87"/>
      <c r="N25" s="87"/>
      <c r="O25" s="87"/>
      <c r="Q25" s="87"/>
      <c r="R25" s="87"/>
      <c r="S25" s="87"/>
      <c r="T25" s="87"/>
      <c r="U25" s="87"/>
    </row>
    <row r="26" spans="2:21" s="87" customFormat="1" x14ac:dyDescent="0.25">
      <c r="B26" s="467" t="s">
        <v>179</v>
      </c>
      <c r="C26" s="458"/>
      <c r="D26" s="458"/>
      <c r="E26" s="458"/>
      <c r="F26" s="458"/>
    </row>
    <row r="27" spans="2:21" x14ac:dyDescent="0.25">
      <c r="B27" s="458" t="s">
        <v>156</v>
      </c>
      <c r="C27" s="458"/>
      <c r="D27" s="458"/>
      <c r="E27" s="458"/>
      <c r="F27" s="458"/>
      <c r="G27" s="87"/>
      <c r="H27" s="87"/>
      <c r="I27" s="87"/>
      <c r="J27" s="87"/>
      <c r="K27" s="87"/>
      <c r="L27" s="87"/>
      <c r="M27" s="87"/>
      <c r="N27" s="87"/>
      <c r="O27" s="87"/>
      <c r="Q27" s="87"/>
      <c r="R27" s="87"/>
      <c r="S27" s="87"/>
      <c r="T27" s="87"/>
      <c r="U27" s="87"/>
    </row>
    <row r="28" spans="2:21" x14ac:dyDescent="0.25">
      <c r="B28" s="458" t="s">
        <v>157</v>
      </c>
      <c r="C28" s="458"/>
      <c r="D28" s="458"/>
      <c r="E28" s="458"/>
      <c r="F28" s="458"/>
      <c r="G28" s="87"/>
      <c r="H28" s="87"/>
      <c r="I28" s="87"/>
      <c r="J28" s="87"/>
      <c r="K28" s="87"/>
      <c r="L28" s="87"/>
      <c r="M28" s="87"/>
      <c r="N28" s="87"/>
      <c r="O28" s="87"/>
      <c r="Q28" s="87"/>
      <c r="R28" s="87"/>
      <c r="S28" s="87"/>
      <c r="T28" s="87"/>
      <c r="U28" s="87"/>
    </row>
    <row r="29" spans="2:21" x14ac:dyDescent="0.25">
      <c r="B29" s="458" t="s">
        <v>158</v>
      </c>
      <c r="C29" s="458"/>
      <c r="D29" s="458"/>
      <c r="E29" s="458"/>
      <c r="F29" s="458"/>
      <c r="G29" s="87"/>
      <c r="H29" s="87"/>
      <c r="I29" s="87"/>
      <c r="J29" s="87"/>
      <c r="K29" s="87"/>
      <c r="L29" s="87"/>
      <c r="M29" s="87"/>
      <c r="N29" s="87"/>
      <c r="O29" s="87"/>
      <c r="Q29" s="87"/>
      <c r="R29" s="87"/>
      <c r="S29" s="87"/>
      <c r="T29" s="87"/>
      <c r="U29" s="87"/>
    </row>
    <row r="30" spans="2:21" x14ac:dyDescent="0.25">
      <c r="B30" s="459" t="s">
        <v>180</v>
      </c>
      <c r="C30" s="458"/>
      <c r="D30" s="458"/>
      <c r="E30" s="458"/>
      <c r="F30" s="458"/>
      <c r="G30" s="87"/>
      <c r="H30" s="87"/>
      <c r="I30" s="87"/>
      <c r="J30" s="87"/>
      <c r="K30" s="87"/>
      <c r="L30" s="87"/>
      <c r="M30" s="87"/>
      <c r="N30" s="87"/>
      <c r="O30" s="87"/>
      <c r="Q30" s="87"/>
      <c r="R30" s="87"/>
      <c r="S30" s="87"/>
      <c r="T30" s="87"/>
      <c r="U30" s="87"/>
    </row>
    <row r="31" spans="2:21" ht="28.5" customHeight="1" x14ac:dyDescent="0.25">
      <c r="B31" s="460" t="s">
        <v>169</v>
      </c>
      <c r="C31" s="461" t="s">
        <v>162</v>
      </c>
      <c r="D31" s="460" t="s">
        <v>161</v>
      </c>
      <c r="E31" s="462" t="s">
        <v>171</v>
      </c>
      <c r="F31" s="462" t="s">
        <v>186</v>
      </c>
      <c r="G31" s="87"/>
      <c r="H31" s="87"/>
      <c r="I31" s="87"/>
      <c r="J31" s="87"/>
      <c r="K31" s="87"/>
      <c r="L31" s="87"/>
      <c r="M31" s="87"/>
      <c r="N31" s="87"/>
      <c r="O31" s="87"/>
      <c r="Q31" s="87"/>
      <c r="R31" s="87"/>
      <c r="S31" s="87"/>
      <c r="T31" s="87"/>
      <c r="U31" s="87"/>
    </row>
    <row r="32" spans="2:21" x14ac:dyDescent="0.25">
      <c r="B32" s="460" t="s">
        <v>160</v>
      </c>
      <c r="C32" s="461">
        <v>51.449999999999989</v>
      </c>
      <c r="D32" s="463" t="s">
        <v>170</v>
      </c>
      <c r="E32" s="464">
        <v>300</v>
      </c>
      <c r="F32" s="460">
        <f>E32*95</f>
        <v>28500</v>
      </c>
      <c r="G32" s="87"/>
      <c r="H32" s="87"/>
      <c r="I32" s="87"/>
      <c r="J32" s="87"/>
      <c r="K32" s="87"/>
      <c r="L32" s="87"/>
      <c r="M32" s="87"/>
      <c r="N32" s="87"/>
      <c r="O32" s="87"/>
      <c r="Q32" s="87"/>
      <c r="R32" s="87"/>
      <c r="S32" s="87"/>
      <c r="T32" s="87"/>
      <c r="U32" s="87"/>
    </row>
    <row r="33" spans="2:21" x14ac:dyDescent="0.25">
      <c r="B33" s="460" t="s">
        <v>165</v>
      </c>
      <c r="C33" s="461">
        <v>0.63</v>
      </c>
      <c r="D33" s="463">
        <v>650</v>
      </c>
      <c r="E33" s="511">
        <v>400</v>
      </c>
      <c r="F33" s="511">
        <v>38045.199999999997</v>
      </c>
      <c r="G33" s="87"/>
      <c r="H33" s="87"/>
      <c r="I33" s="87"/>
      <c r="J33" s="87"/>
      <c r="K33" s="87"/>
      <c r="L33" s="87"/>
      <c r="M33" s="87"/>
      <c r="N33" s="87"/>
      <c r="O33" s="87"/>
      <c r="Q33" s="87"/>
      <c r="R33" s="87"/>
      <c r="S33" s="87"/>
      <c r="T33" s="87"/>
      <c r="U33" s="87"/>
    </row>
    <row r="34" spans="2:21" x14ac:dyDescent="0.25">
      <c r="B34" s="460" t="s">
        <v>164</v>
      </c>
      <c r="C34" s="461">
        <v>1.93</v>
      </c>
      <c r="D34" s="463">
        <v>370</v>
      </c>
      <c r="E34" s="512"/>
      <c r="F34" s="512"/>
      <c r="G34" s="87"/>
      <c r="H34" s="87"/>
      <c r="I34" s="87"/>
      <c r="J34" s="87"/>
      <c r="K34" s="87"/>
      <c r="L34" s="87"/>
      <c r="M34" s="87"/>
      <c r="N34" s="87"/>
      <c r="O34" s="87"/>
      <c r="Q34" s="87"/>
      <c r="R34" s="87"/>
      <c r="S34" s="87"/>
      <c r="T34" s="87"/>
      <c r="U34" s="87"/>
    </row>
    <row r="35" spans="2:21" x14ac:dyDescent="0.25">
      <c r="B35" s="460" t="s">
        <v>163</v>
      </c>
      <c r="C35" s="461">
        <v>8</v>
      </c>
      <c r="D35" s="463">
        <v>455</v>
      </c>
      <c r="E35" s="512"/>
      <c r="F35" s="512"/>
      <c r="G35" s="87"/>
      <c r="H35" s="87"/>
      <c r="I35" s="87"/>
      <c r="J35" s="87"/>
      <c r="K35" s="87"/>
      <c r="L35" s="87"/>
      <c r="M35" s="87"/>
      <c r="N35" s="87"/>
      <c r="O35" s="87"/>
      <c r="Q35" s="87"/>
      <c r="R35" s="87"/>
      <c r="S35" s="87"/>
      <c r="T35" s="87"/>
      <c r="U35" s="87"/>
    </row>
    <row r="36" spans="2:21" x14ac:dyDescent="0.25">
      <c r="B36" s="460" t="s">
        <v>166</v>
      </c>
      <c r="C36" s="461">
        <v>7.9</v>
      </c>
      <c r="D36" s="463">
        <v>290</v>
      </c>
      <c r="E36" s="512"/>
      <c r="F36" s="512"/>
      <c r="G36" s="87"/>
      <c r="H36" s="87"/>
      <c r="I36" s="87"/>
      <c r="J36" s="87"/>
      <c r="K36" s="87"/>
      <c r="L36" s="87"/>
      <c r="M36" s="87"/>
      <c r="N36" s="87"/>
      <c r="O36" s="87"/>
      <c r="Q36" s="87"/>
      <c r="R36" s="87"/>
      <c r="S36" s="87"/>
      <c r="T36" s="87"/>
      <c r="U36" s="87"/>
    </row>
    <row r="37" spans="2:21" x14ac:dyDescent="0.25">
      <c r="B37" s="460" t="s">
        <v>168</v>
      </c>
      <c r="C37" s="461">
        <v>7.2</v>
      </c>
      <c r="D37" s="463">
        <v>290</v>
      </c>
      <c r="E37" s="512"/>
      <c r="F37" s="512"/>
      <c r="G37" s="87"/>
      <c r="H37" s="87"/>
      <c r="I37" s="87"/>
      <c r="J37" s="87"/>
      <c r="K37" s="87"/>
      <c r="L37" s="87"/>
      <c r="M37" s="87"/>
      <c r="N37" s="87"/>
      <c r="O37" s="87"/>
      <c r="Q37" s="87"/>
      <c r="R37" s="87"/>
      <c r="S37" s="87"/>
      <c r="T37" s="87"/>
      <c r="U37" s="87"/>
    </row>
    <row r="38" spans="2:21" x14ac:dyDescent="0.25">
      <c r="B38" s="460" t="s">
        <v>167</v>
      </c>
      <c r="C38" s="461">
        <v>22.89</v>
      </c>
      <c r="D38" s="463">
        <v>450</v>
      </c>
      <c r="E38" s="513"/>
      <c r="F38" s="513"/>
      <c r="G38" s="12"/>
      <c r="H38" s="12"/>
      <c r="I38" s="12"/>
      <c r="J38" s="12"/>
      <c r="K38" s="12"/>
      <c r="L38" s="12"/>
      <c r="M38" s="12"/>
      <c r="N38" s="12"/>
      <c r="O38" s="12"/>
      <c r="S38" s="12"/>
      <c r="T38" s="12"/>
      <c r="U38" s="12"/>
    </row>
    <row r="39" spans="2:21" x14ac:dyDescent="0.25">
      <c r="B39" s="468" t="s">
        <v>185</v>
      </c>
      <c r="C39" s="466"/>
      <c r="D39" s="465"/>
      <c r="E39" s="465"/>
      <c r="F39" s="465"/>
      <c r="G39" s="12"/>
      <c r="H39" s="12"/>
      <c r="I39" s="12"/>
      <c r="J39" s="12"/>
      <c r="K39" s="12"/>
      <c r="L39" s="12"/>
      <c r="M39" s="12"/>
      <c r="N39" s="12"/>
      <c r="O39" s="12"/>
      <c r="S39" s="12"/>
      <c r="T39" s="12"/>
      <c r="U39" s="12"/>
    </row>
    <row r="40" spans="2:21" x14ac:dyDescent="0.25">
      <c r="B40" s="468" t="s">
        <v>175</v>
      </c>
      <c r="C40" s="466"/>
      <c r="D40" s="465"/>
      <c r="E40" s="465"/>
      <c r="F40" s="465"/>
      <c r="G40" s="12"/>
      <c r="H40" s="12"/>
      <c r="I40" s="12"/>
      <c r="J40" s="12"/>
      <c r="K40" s="12"/>
      <c r="L40" s="12"/>
      <c r="M40" s="12"/>
      <c r="N40" s="12"/>
      <c r="O40" s="12"/>
      <c r="S40" s="12"/>
      <c r="T40" s="12"/>
      <c r="U40" s="12"/>
    </row>
    <row r="41" spans="2:21" x14ac:dyDescent="0.25">
      <c r="B41" s="468" t="s">
        <v>177</v>
      </c>
      <c r="C41" s="466"/>
      <c r="D41" s="465"/>
      <c r="E41" s="465"/>
      <c r="F41" s="465"/>
      <c r="G41" s="12"/>
      <c r="H41" s="12"/>
      <c r="I41" s="12"/>
      <c r="J41" s="12"/>
      <c r="K41" s="12"/>
      <c r="L41" s="12"/>
      <c r="M41" s="12"/>
      <c r="N41" s="12"/>
      <c r="O41" s="12"/>
      <c r="S41" s="12"/>
      <c r="T41" s="12"/>
      <c r="U41" s="12"/>
    </row>
    <row r="42" spans="2:21" x14ac:dyDescent="0.25">
      <c r="B42" s="468" t="s">
        <v>172</v>
      </c>
      <c r="C42" s="466"/>
      <c r="D42" s="465"/>
      <c r="E42" s="465"/>
      <c r="F42" s="465"/>
      <c r="G42" s="12"/>
      <c r="H42" s="12"/>
      <c r="I42" s="12"/>
      <c r="J42" s="12"/>
      <c r="K42" s="12"/>
      <c r="L42" s="12"/>
      <c r="M42" s="12"/>
      <c r="N42" s="12"/>
      <c r="O42" s="12"/>
      <c r="S42" s="12"/>
      <c r="T42" s="12"/>
      <c r="U42" s="12"/>
    </row>
    <row r="43" spans="2:21" x14ac:dyDescent="0.25">
      <c r="B43" s="468" t="s">
        <v>173</v>
      </c>
      <c r="C43" s="466"/>
      <c r="D43" s="465"/>
      <c r="E43" s="465"/>
      <c r="F43" s="465"/>
      <c r="G43" s="12"/>
      <c r="H43" s="12"/>
      <c r="I43" s="12"/>
      <c r="J43" s="12"/>
      <c r="K43" s="12"/>
      <c r="L43" s="12"/>
      <c r="M43" s="12"/>
      <c r="N43" s="12"/>
      <c r="O43" s="12"/>
      <c r="S43" s="12"/>
      <c r="T43" s="12"/>
      <c r="U43" s="12"/>
    </row>
    <row r="44" spans="2:21" x14ac:dyDescent="0.25">
      <c r="B44" s="468" t="s">
        <v>174</v>
      </c>
      <c r="C44" s="466"/>
      <c r="D44" s="465"/>
      <c r="E44" s="465"/>
      <c r="F44" s="465"/>
      <c r="G44" s="12"/>
      <c r="H44" s="12"/>
      <c r="I44" s="12"/>
      <c r="J44" s="12"/>
      <c r="K44" s="12"/>
      <c r="L44" s="12"/>
      <c r="M44" s="12"/>
      <c r="N44" s="12"/>
      <c r="O44" s="12"/>
      <c r="S44" s="12"/>
      <c r="T44" s="12"/>
      <c r="U44" s="12"/>
    </row>
    <row r="45" spans="2:21" x14ac:dyDescent="0.25">
      <c r="B45" s="468" t="s">
        <v>176</v>
      </c>
      <c r="C45" s="466"/>
      <c r="D45" s="465"/>
      <c r="E45" s="465"/>
      <c r="F45" s="465"/>
      <c r="G45" s="12"/>
      <c r="H45" s="12"/>
      <c r="I45" s="12"/>
      <c r="J45" s="12"/>
      <c r="K45" s="12"/>
      <c r="L45" s="12"/>
      <c r="M45" s="12"/>
      <c r="N45" s="12"/>
      <c r="O45" s="12"/>
      <c r="S45" s="12"/>
      <c r="T45" s="12"/>
      <c r="U45" s="12"/>
    </row>
    <row r="46" spans="2:21" x14ac:dyDescent="0.25">
      <c r="B46" s="468" t="s">
        <v>178</v>
      </c>
      <c r="C46" s="466"/>
      <c r="D46" s="465"/>
      <c r="E46" s="465"/>
      <c r="F46" s="465"/>
      <c r="G46" s="12"/>
      <c r="H46" s="12"/>
      <c r="I46" s="12"/>
      <c r="J46" s="12"/>
      <c r="K46" s="12"/>
      <c r="L46" s="12"/>
      <c r="M46" s="12"/>
      <c r="N46" s="12"/>
      <c r="O46" s="12"/>
      <c r="S46" s="12"/>
      <c r="T46" s="12"/>
      <c r="U46" s="12"/>
    </row>
    <row r="47" spans="2:21" x14ac:dyDescent="0.25"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S47" s="12"/>
      <c r="T47" s="12"/>
      <c r="U47" s="12"/>
    </row>
    <row r="48" spans="2:21" x14ac:dyDescent="0.25"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S48" s="12"/>
      <c r="T48" s="12"/>
      <c r="U48" s="12"/>
    </row>
  </sheetData>
  <mergeCells count="12">
    <mergeCell ref="E33:E38"/>
    <mergeCell ref="S2:S3"/>
    <mergeCell ref="T2:T3"/>
    <mergeCell ref="U2:U3"/>
    <mergeCell ref="C2:C3"/>
    <mergeCell ref="F33:F38"/>
    <mergeCell ref="B2:B3"/>
    <mergeCell ref="Q2:Q3"/>
    <mergeCell ref="R2:R3"/>
    <mergeCell ref="D2:G2"/>
    <mergeCell ref="H2:K2"/>
    <mergeCell ref="L2:O2"/>
  </mergeCells>
  <pageMargins left="0.7" right="0.7" top="0.75" bottom="0.75" header="0.3" footer="0.3"/>
  <pageSetup paperSize="9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/>
  </sheetPr>
  <dimension ref="B2:N70"/>
  <sheetViews>
    <sheetView topLeftCell="A23" zoomScale="120" zoomScaleNormal="120" workbookViewId="0">
      <selection activeCell="E38" sqref="E38"/>
    </sheetView>
  </sheetViews>
  <sheetFormatPr defaultRowHeight="15" x14ac:dyDescent="0.25"/>
  <cols>
    <col min="2" max="2" width="64.28515625" customWidth="1"/>
    <col min="3" max="3" width="14.42578125" customWidth="1"/>
    <col min="4" max="4" width="15.42578125" customWidth="1"/>
    <col min="5" max="5" width="14.5703125" customWidth="1"/>
    <col min="6" max="6" width="14.7109375" customWidth="1"/>
    <col min="7" max="7" width="16.7109375" customWidth="1"/>
    <col min="8" max="8" width="12.28515625" customWidth="1"/>
    <col min="9" max="9" width="15.140625" customWidth="1"/>
    <col min="10" max="10" width="13.140625" customWidth="1"/>
    <col min="11" max="11" width="15.140625" customWidth="1"/>
    <col min="12" max="12" width="15.28515625" customWidth="1"/>
    <col min="13" max="13" width="16.5703125" customWidth="1"/>
    <col min="14" max="15" width="14.85546875" customWidth="1"/>
  </cols>
  <sheetData>
    <row r="2" spans="2:14" x14ac:dyDescent="0.25">
      <c r="B2" s="4" t="s">
        <v>21</v>
      </c>
    </row>
    <row r="3" spans="2:14" x14ac:dyDescent="0.25">
      <c r="B3" t="s">
        <v>22</v>
      </c>
    </row>
    <row r="4" spans="2:14" x14ac:dyDescent="0.25">
      <c r="B4" t="s">
        <v>24</v>
      </c>
    </row>
    <row r="5" spans="2:14" x14ac:dyDescent="0.25">
      <c r="B5" t="s">
        <v>23</v>
      </c>
    </row>
    <row r="6" spans="2:14" ht="15.75" thickBot="1" x14ac:dyDescent="0.3"/>
    <row r="7" spans="2:14" ht="36" x14ac:dyDescent="0.25">
      <c r="B7" s="326" t="s">
        <v>20</v>
      </c>
      <c r="C7" s="327" t="s">
        <v>113</v>
      </c>
      <c r="D7" s="328" t="s">
        <v>58</v>
      </c>
      <c r="E7" s="327" t="s">
        <v>82</v>
      </c>
      <c r="F7" s="328" t="s">
        <v>58</v>
      </c>
      <c r="G7" s="327" t="s">
        <v>83</v>
      </c>
      <c r="H7" s="328" t="s">
        <v>58</v>
      </c>
      <c r="I7" s="327" t="s">
        <v>9</v>
      </c>
      <c r="J7" s="329" t="s">
        <v>58</v>
      </c>
    </row>
    <row r="8" spans="2:14" x14ac:dyDescent="0.25">
      <c r="B8" s="330" t="s">
        <v>27</v>
      </c>
      <c r="C8" s="331">
        <f>C36</f>
        <v>315310</v>
      </c>
      <c r="D8" s="332">
        <f>C28</f>
        <v>58200</v>
      </c>
      <c r="E8" s="331">
        <f>D36</f>
        <v>32900</v>
      </c>
      <c r="F8" s="332">
        <f>D28</f>
        <v>32900</v>
      </c>
      <c r="G8" s="331">
        <f>E36</f>
        <v>32900</v>
      </c>
      <c r="H8" s="332">
        <f>E28</f>
        <v>32900</v>
      </c>
      <c r="I8" s="331">
        <f>C8+E8+G8</f>
        <v>381110</v>
      </c>
      <c r="J8" s="333">
        <f t="shared" ref="J8:J9" si="0">D8+F8+H8</f>
        <v>124000</v>
      </c>
    </row>
    <row r="9" spans="2:14" x14ac:dyDescent="0.25">
      <c r="B9" s="330" t="s">
        <v>26</v>
      </c>
      <c r="C9" s="334">
        <f>C10-C8</f>
        <v>0</v>
      </c>
      <c r="D9" s="335">
        <f t="shared" ref="D9:H9" si="1">D10-D8</f>
        <v>0</v>
      </c>
      <c r="E9" s="334">
        <f t="shared" si="1"/>
        <v>0</v>
      </c>
      <c r="F9" s="335">
        <f t="shared" si="1"/>
        <v>0</v>
      </c>
      <c r="G9" s="334">
        <f t="shared" si="1"/>
        <v>0</v>
      </c>
      <c r="H9" s="335">
        <f t="shared" si="1"/>
        <v>0</v>
      </c>
      <c r="I9" s="334">
        <f t="shared" ref="I9" si="2">C9+E9+G9</f>
        <v>0</v>
      </c>
      <c r="J9" s="333">
        <f t="shared" si="0"/>
        <v>0</v>
      </c>
    </row>
    <row r="10" spans="2:14" ht="15.75" thickBot="1" x14ac:dyDescent="0.3">
      <c r="B10" s="336" t="s">
        <v>9</v>
      </c>
      <c r="C10" s="337">
        <f>C36</f>
        <v>315310</v>
      </c>
      <c r="D10" s="338">
        <f>C28</f>
        <v>58200</v>
      </c>
      <c r="E10" s="337">
        <f>D36</f>
        <v>32900</v>
      </c>
      <c r="F10" s="338">
        <f>D28</f>
        <v>32900</v>
      </c>
      <c r="G10" s="337">
        <f>E36</f>
        <v>32900</v>
      </c>
      <c r="H10" s="338">
        <f>E28</f>
        <v>32900</v>
      </c>
      <c r="I10" s="337">
        <f t="shared" ref="I10:J10" si="3">SUM(I8:I9)</f>
        <v>381110</v>
      </c>
      <c r="J10" s="339">
        <f t="shared" si="3"/>
        <v>124000</v>
      </c>
    </row>
    <row r="11" spans="2:14" x14ac:dyDescent="0.25">
      <c r="C11" s="3"/>
      <c r="D11" s="3"/>
      <c r="E11" s="3"/>
      <c r="F11" s="3"/>
    </row>
    <row r="12" spans="2:14" s="87" customFormat="1" ht="15.75" thickBot="1" x14ac:dyDescent="0.3"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</row>
    <row r="13" spans="2:14" s="87" customFormat="1" ht="15.75" thickBot="1" x14ac:dyDescent="0.3">
      <c r="B13" s="315" t="s">
        <v>84</v>
      </c>
      <c r="C13" s="316" t="s">
        <v>112</v>
      </c>
      <c r="D13" s="316" t="s">
        <v>99</v>
      </c>
      <c r="E13" s="317" t="s">
        <v>100</v>
      </c>
      <c r="F13" s="318" t="s">
        <v>101</v>
      </c>
      <c r="G13" s="319" t="s">
        <v>102</v>
      </c>
      <c r="H13" s="317" t="s">
        <v>103</v>
      </c>
      <c r="I13" s="316" t="s">
        <v>104</v>
      </c>
      <c r="J13" s="111" t="s">
        <v>105</v>
      </c>
      <c r="K13" s="319" t="s">
        <v>106</v>
      </c>
      <c r="L13" s="317" t="s">
        <v>107</v>
      </c>
      <c r="M13" s="316" t="s">
        <v>108</v>
      </c>
      <c r="N13" s="111" t="s">
        <v>109</v>
      </c>
    </row>
    <row r="14" spans="2:14" s="87" customFormat="1" x14ac:dyDescent="0.25">
      <c r="B14" s="114" t="s">
        <v>27</v>
      </c>
      <c r="C14" s="305">
        <f>D10/4</f>
        <v>14550</v>
      </c>
      <c r="D14" s="306">
        <f>D10/4</f>
        <v>14550</v>
      </c>
      <c r="E14" s="306">
        <f>D10/4</f>
        <v>14550</v>
      </c>
      <c r="F14" s="307">
        <f>D10/4</f>
        <v>14550</v>
      </c>
      <c r="G14" s="308">
        <f>F10/4</f>
        <v>8225</v>
      </c>
      <c r="H14" s="309">
        <f>F10/4</f>
        <v>8225</v>
      </c>
      <c r="I14" s="309">
        <f>F10/4</f>
        <v>8225</v>
      </c>
      <c r="J14" s="307">
        <f>F10/4</f>
        <v>8225</v>
      </c>
      <c r="K14" s="308">
        <f>H10/4</f>
        <v>8225</v>
      </c>
      <c r="L14" s="309">
        <f>H10/4</f>
        <v>8225</v>
      </c>
      <c r="M14" s="309">
        <f>H10/4</f>
        <v>8225</v>
      </c>
      <c r="N14" s="307">
        <f>H10/4</f>
        <v>8225</v>
      </c>
    </row>
    <row r="15" spans="2:14" s="87" customFormat="1" ht="15.75" thickBot="1" x14ac:dyDescent="0.3">
      <c r="B15" s="115" t="s">
        <v>26</v>
      </c>
      <c r="C15" s="310"/>
      <c r="D15" s="311"/>
      <c r="E15" s="311"/>
      <c r="F15" s="312"/>
      <c r="G15" s="313"/>
      <c r="H15" s="314"/>
      <c r="I15" s="314"/>
      <c r="J15" s="312"/>
      <c r="K15" s="313"/>
      <c r="L15" s="314"/>
      <c r="M15" s="314"/>
      <c r="N15" s="312"/>
    </row>
    <row r="16" spans="2:14" s="87" customFormat="1" ht="15.75" thickBot="1" x14ac:dyDescent="0.3">
      <c r="B16" s="320" t="s">
        <v>9</v>
      </c>
      <c r="C16" s="321">
        <f>SUM(C14:C15)</f>
        <v>14550</v>
      </c>
      <c r="D16" s="322">
        <f t="shared" ref="D16:N16" si="4">SUM(D14:D15)</f>
        <v>14550</v>
      </c>
      <c r="E16" s="322">
        <f t="shared" si="4"/>
        <v>14550</v>
      </c>
      <c r="F16" s="323">
        <f t="shared" si="4"/>
        <v>14550</v>
      </c>
      <c r="G16" s="324">
        <f t="shared" si="4"/>
        <v>8225</v>
      </c>
      <c r="H16" s="325">
        <f t="shared" si="4"/>
        <v>8225</v>
      </c>
      <c r="I16" s="325">
        <f t="shared" si="4"/>
        <v>8225</v>
      </c>
      <c r="J16" s="323">
        <f t="shared" si="4"/>
        <v>8225</v>
      </c>
      <c r="K16" s="324">
        <f t="shared" si="4"/>
        <v>8225</v>
      </c>
      <c r="L16" s="325">
        <f t="shared" si="4"/>
        <v>8225</v>
      </c>
      <c r="M16" s="325">
        <f t="shared" si="4"/>
        <v>8225</v>
      </c>
      <c r="N16" s="323">
        <f t="shared" si="4"/>
        <v>8225</v>
      </c>
    </row>
    <row r="17" spans="2:14" s="87" customFormat="1" x14ac:dyDescent="0.25">
      <c r="F17" s="87" t="b">
        <f>SUM(C16:F16)=D10</f>
        <v>1</v>
      </c>
      <c r="J17" s="87" t="b">
        <f>SUM(G16:J16)=F10</f>
        <v>1</v>
      </c>
      <c r="N17" s="87" t="b">
        <f>SUM(K16:N16)=H10</f>
        <v>1</v>
      </c>
    </row>
    <row r="18" spans="2:14" s="87" customFormat="1" ht="15.75" thickBot="1" x14ac:dyDescent="0.3">
      <c r="C18" s="3"/>
      <c r="D18" s="3"/>
      <c r="E18" s="3"/>
      <c r="F18" s="3"/>
    </row>
    <row r="19" spans="2:14" x14ac:dyDescent="0.25">
      <c r="B19" s="82" t="s">
        <v>72</v>
      </c>
      <c r="C19" s="217" t="str">
        <f>C7</f>
        <v>I  год</v>
      </c>
      <c r="D19" s="217" t="str">
        <f>E7</f>
        <v>II год</v>
      </c>
      <c r="E19" s="218" t="str">
        <f>G7</f>
        <v>III год</v>
      </c>
      <c r="F19" s="1" t="s">
        <v>9</v>
      </c>
    </row>
    <row r="20" spans="2:14" x14ac:dyDescent="0.25">
      <c r="B20" s="83" t="s">
        <v>73</v>
      </c>
      <c r="C20" s="75"/>
      <c r="D20" s="75"/>
      <c r="E20" s="77"/>
      <c r="F20" s="74"/>
    </row>
    <row r="21" spans="2:14" x14ac:dyDescent="0.25">
      <c r="B21" s="298" t="s">
        <v>142</v>
      </c>
      <c r="C21" s="299">
        <v>10500</v>
      </c>
      <c r="D21" s="299">
        <v>7500</v>
      </c>
      <c r="E21" s="299">
        <v>7500</v>
      </c>
      <c r="F21" s="76">
        <f t="shared" ref="F21:F36" si="5">SUM(C21:E21)</f>
        <v>25500</v>
      </c>
      <c r="G21" s="13">
        <f t="shared" ref="G21:G27" si="6">F21-SUM(C21:E21)</f>
        <v>0</v>
      </c>
    </row>
    <row r="22" spans="2:14" x14ac:dyDescent="0.25">
      <c r="B22" s="298" t="s">
        <v>143</v>
      </c>
      <c r="C22" s="299">
        <v>6500</v>
      </c>
      <c r="D22" s="299">
        <v>3800</v>
      </c>
      <c r="E22" s="299">
        <v>3800</v>
      </c>
      <c r="F22" s="76">
        <f t="shared" si="5"/>
        <v>14100</v>
      </c>
      <c r="G22" s="13">
        <f t="shared" si="6"/>
        <v>0</v>
      </c>
    </row>
    <row r="23" spans="2:14" x14ac:dyDescent="0.25">
      <c r="B23" s="298" t="s">
        <v>144</v>
      </c>
      <c r="C23" s="299">
        <v>15200</v>
      </c>
      <c r="D23" s="299">
        <v>6800</v>
      </c>
      <c r="E23" s="299">
        <v>6800</v>
      </c>
      <c r="F23" s="76">
        <f t="shared" si="5"/>
        <v>28800</v>
      </c>
      <c r="G23" s="13">
        <f t="shared" si="6"/>
        <v>0</v>
      </c>
    </row>
    <row r="24" spans="2:14" x14ac:dyDescent="0.25">
      <c r="B24" s="298" t="s">
        <v>145</v>
      </c>
      <c r="C24" s="299">
        <v>11000</v>
      </c>
      <c r="D24" s="299">
        <v>5300</v>
      </c>
      <c r="E24" s="299">
        <v>5300</v>
      </c>
      <c r="F24" s="76">
        <f t="shared" si="5"/>
        <v>21600</v>
      </c>
      <c r="G24" s="13">
        <f t="shared" si="6"/>
        <v>0</v>
      </c>
    </row>
    <row r="25" spans="2:14" x14ac:dyDescent="0.25">
      <c r="B25" s="298" t="s">
        <v>146</v>
      </c>
      <c r="C25" s="299">
        <v>8400</v>
      </c>
      <c r="D25" s="299">
        <v>6000</v>
      </c>
      <c r="E25" s="300">
        <v>6000</v>
      </c>
      <c r="F25" s="76">
        <f t="shared" si="5"/>
        <v>20400</v>
      </c>
      <c r="G25" s="13">
        <f t="shared" si="6"/>
        <v>0</v>
      </c>
    </row>
    <row r="26" spans="2:14" s="87" customFormat="1" x14ac:dyDescent="0.25">
      <c r="B26" s="298" t="s">
        <v>147</v>
      </c>
      <c r="C26" s="299">
        <v>6600</v>
      </c>
      <c r="D26" s="299">
        <v>3500</v>
      </c>
      <c r="E26" s="299">
        <v>3500</v>
      </c>
      <c r="F26" s="76"/>
      <c r="G26" s="90"/>
    </row>
    <row r="27" spans="2:14" x14ac:dyDescent="0.25">
      <c r="B27" s="298"/>
      <c r="C27" s="299"/>
      <c r="D27" s="299"/>
      <c r="E27" s="300"/>
      <c r="F27" s="76">
        <f t="shared" si="5"/>
        <v>0</v>
      </c>
      <c r="G27" s="13">
        <f t="shared" si="6"/>
        <v>0</v>
      </c>
    </row>
    <row r="28" spans="2:14" x14ac:dyDescent="0.25">
      <c r="B28" s="84" t="s">
        <v>19</v>
      </c>
      <c r="C28" s="79">
        <f>SUM(C21:C27)</f>
        <v>58200</v>
      </c>
      <c r="D28" s="79">
        <f>SUM(D21:D27)</f>
        <v>32900</v>
      </c>
      <c r="E28" s="78">
        <f>SUM(E21:E27)</f>
        <v>32900</v>
      </c>
      <c r="F28" s="6">
        <f t="shared" si="5"/>
        <v>124000</v>
      </c>
      <c r="G28" s="90">
        <f t="shared" ref="G28:G36" si="7">F28-SUM(C28:E28)</f>
        <v>0</v>
      </c>
    </row>
    <row r="29" spans="2:14" ht="24" x14ac:dyDescent="0.25">
      <c r="B29" s="85" t="s">
        <v>28</v>
      </c>
      <c r="C29" s="80">
        <f>SUM(C30:C35)</f>
        <v>257110</v>
      </c>
      <c r="D29" s="80">
        <f>SUM(D30:D35)</f>
        <v>0</v>
      </c>
      <c r="E29" s="8">
        <f>SUM(E30:E35)</f>
        <v>0</v>
      </c>
      <c r="F29" s="9">
        <f t="shared" si="5"/>
        <v>257110</v>
      </c>
      <c r="G29" s="90">
        <f t="shared" si="7"/>
        <v>0</v>
      </c>
    </row>
    <row r="30" spans="2:14" x14ac:dyDescent="0.25">
      <c r="B30" s="301" t="s">
        <v>149</v>
      </c>
      <c r="C30" s="302">
        <v>22500</v>
      </c>
      <c r="D30" s="302"/>
      <c r="E30" s="303"/>
      <c r="F30" s="5">
        <f t="shared" si="5"/>
        <v>22500</v>
      </c>
      <c r="G30" s="13">
        <f t="shared" si="7"/>
        <v>0</v>
      </c>
    </row>
    <row r="31" spans="2:14" s="87" customFormat="1" x14ac:dyDescent="0.25">
      <c r="B31" s="298" t="s">
        <v>148</v>
      </c>
      <c r="C31" s="299">
        <v>210000</v>
      </c>
      <c r="D31" s="299"/>
      <c r="E31" s="300"/>
      <c r="F31" s="7">
        <f t="shared" si="5"/>
        <v>210000</v>
      </c>
      <c r="G31" s="90"/>
    </row>
    <row r="32" spans="2:14" x14ac:dyDescent="0.25">
      <c r="B32" s="304" t="s">
        <v>150</v>
      </c>
      <c r="C32" s="299">
        <v>3800</v>
      </c>
      <c r="D32" s="299"/>
      <c r="E32" s="300"/>
      <c r="F32" s="7">
        <f t="shared" si="5"/>
        <v>3800</v>
      </c>
      <c r="G32" s="90">
        <f t="shared" si="7"/>
        <v>0</v>
      </c>
    </row>
    <row r="33" spans="2:8" s="87" customFormat="1" x14ac:dyDescent="0.25">
      <c r="B33" s="304" t="s">
        <v>151</v>
      </c>
      <c r="C33" s="299">
        <v>15500</v>
      </c>
      <c r="D33" s="299"/>
      <c r="E33" s="300"/>
      <c r="F33" s="7">
        <f t="shared" si="5"/>
        <v>15500</v>
      </c>
      <c r="G33" s="90">
        <f t="shared" si="7"/>
        <v>0</v>
      </c>
    </row>
    <row r="34" spans="2:8" s="87" customFormat="1" x14ac:dyDescent="0.25">
      <c r="B34" s="304" t="s">
        <v>155</v>
      </c>
      <c r="C34" s="299">
        <v>1310</v>
      </c>
      <c r="D34" s="299"/>
      <c r="E34" s="300"/>
      <c r="F34" s="7">
        <f t="shared" si="5"/>
        <v>1310</v>
      </c>
      <c r="G34" s="90">
        <f t="shared" si="7"/>
        <v>0</v>
      </c>
    </row>
    <row r="35" spans="2:8" ht="28.5" customHeight="1" x14ac:dyDescent="0.25">
      <c r="B35" s="304" t="s">
        <v>152</v>
      </c>
      <c r="C35" s="299">
        <v>4000</v>
      </c>
      <c r="D35" s="299"/>
      <c r="E35" s="300"/>
      <c r="F35" s="7">
        <f t="shared" si="5"/>
        <v>4000</v>
      </c>
      <c r="G35" s="90">
        <f t="shared" si="7"/>
        <v>0</v>
      </c>
    </row>
    <row r="36" spans="2:8" ht="15.75" thickBot="1" x14ac:dyDescent="0.3">
      <c r="B36" s="86" t="s">
        <v>9</v>
      </c>
      <c r="C36" s="81">
        <f>C28+C29</f>
        <v>315310</v>
      </c>
      <c r="D36" s="81">
        <f>D28+D29</f>
        <v>32900</v>
      </c>
      <c r="E36" s="52">
        <f>E28+E29</f>
        <v>32900</v>
      </c>
      <c r="F36" s="14">
        <f t="shared" si="5"/>
        <v>381110</v>
      </c>
      <c r="G36" s="90">
        <f t="shared" si="7"/>
        <v>0</v>
      </c>
    </row>
    <row r="37" spans="2:8" x14ac:dyDescent="0.25">
      <c r="B37" s="2" t="s">
        <v>18</v>
      </c>
      <c r="C37" s="13">
        <f>C36-C10</f>
        <v>0</v>
      </c>
      <c r="D37" s="13">
        <f>D36-E10</f>
        <v>0</v>
      </c>
      <c r="E37" s="13">
        <f>E36-G10</f>
        <v>0</v>
      </c>
      <c r="F37" s="13">
        <f>F36-I10</f>
        <v>0</v>
      </c>
    </row>
    <row r="38" spans="2:8" ht="15.75" thickBot="1" x14ac:dyDescent="0.3"/>
    <row r="39" spans="2:8" ht="15.75" thickBot="1" x14ac:dyDescent="0.3">
      <c r="B39" s="219" t="s">
        <v>117</v>
      </c>
      <c r="C39" s="100" t="s">
        <v>113</v>
      </c>
      <c r="D39" s="100" t="s">
        <v>82</v>
      </c>
      <c r="E39" s="101" t="s">
        <v>83</v>
      </c>
      <c r="F39" s="102"/>
    </row>
    <row r="40" spans="2:8" s="87" customFormat="1" x14ac:dyDescent="0.25">
      <c r="B40" s="383" t="str">
        <f t="shared" ref="B40:C44" si="8">B21</f>
        <v>Капитальные ремонты зданий и сооружений</v>
      </c>
      <c r="C40" s="97">
        <f t="shared" si="8"/>
        <v>10500</v>
      </c>
      <c r="D40" s="97">
        <f t="shared" ref="D40:E44" si="9">C40+D21</f>
        <v>18000</v>
      </c>
      <c r="E40" s="98">
        <f t="shared" si="9"/>
        <v>25500</v>
      </c>
      <c r="F40" s="102"/>
      <c r="G40" s="102"/>
      <c r="H40" s="102"/>
    </row>
    <row r="41" spans="2:8" s="87" customFormat="1" x14ac:dyDescent="0.25">
      <c r="B41" s="383" t="str">
        <f t="shared" si="8"/>
        <v>Капитальные ремонты (замена) механического оборудования</v>
      </c>
      <c r="C41" s="97">
        <f t="shared" si="8"/>
        <v>6500</v>
      </c>
      <c r="D41" s="97">
        <f t="shared" si="9"/>
        <v>10300</v>
      </c>
      <c r="E41" s="98">
        <f t="shared" si="9"/>
        <v>14100</v>
      </c>
      <c r="F41" s="102"/>
      <c r="G41" s="102"/>
      <c r="H41" s="102"/>
    </row>
    <row r="42" spans="2:8" s="87" customFormat="1" x14ac:dyDescent="0.25">
      <c r="B42" s="383" t="str">
        <f t="shared" si="8"/>
        <v>Капитальные ремонты  (замена) энергетического оборудования</v>
      </c>
      <c r="C42" s="97">
        <f t="shared" si="8"/>
        <v>15200</v>
      </c>
      <c r="D42" s="97">
        <f t="shared" si="9"/>
        <v>22000</v>
      </c>
      <c r="E42" s="98">
        <f t="shared" si="9"/>
        <v>28800</v>
      </c>
      <c r="F42" s="102"/>
      <c r="G42" s="102"/>
      <c r="H42" s="102"/>
    </row>
    <row r="43" spans="2:8" s="87" customFormat="1" x14ac:dyDescent="0.25">
      <c r="B43" s="383" t="str">
        <f t="shared" si="8"/>
        <v>Капитальные ремонты  (замена) оборудования КИПиА</v>
      </c>
      <c r="C43" s="97">
        <f t="shared" si="8"/>
        <v>11000</v>
      </c>
      <c r="D43" s="97">
        <f t="shared" si="9"/>
        <v>16300</v>
      </c>
      <c r="E43" s="98">
        <f t="shared" si="9"/>
        <v>21600</v>
      </c>
      <c r="F43" s="102"/>
      <c r="G43" s="102"/>
      <c r="H43" s="102"/>
    </row>
    <row r="44" spans="2:8" s="87" customFormat="1" x14ac:dyDescent="0.25">
      <c r="B44" s="383" t="str">
        <f t="shared" si="8"/>
        <v>Капитальные ремонты  (закупка) автотранспорта</v>
      </c>
      <c r="C44" s="97">
        <f t="shared" si="8"/>
        <v>8400</v>
      </c>
      <c r="D44" s="97">
        <f t="shared" si="9"/>
        <v>14400</v>
      </c>
      <c r="E44" s="98">
        <f t="shared" si="9"/>
        <v>20400</v>
      </c>
      <c r="F44" s="102"/>
      <c r="G44" s="102"/>
      <c r="H44" s="102"/>
    </row>
    <row r="45" spans="2:8" s="87" customFormat="1" x14ac:dyDescent="0.25">
      <c r="B45" s="383" t="str">
        <f>B26</f>
        <v>Капитальные ремонты  ж.д.транспорта и ж.д. хозяйства</v>
      </c>
      <c r="C45" s="97">
        <f>C26</f>
        <v>6600</v>
      </c>
      <c r="D45" s="97">
        <f t="shared" ref="D45:E45" si="10">D26</f>
        <v>3500</v>
      </c>
      <c r="E45" s="97">
        <f t="shared" si="10"/>
        <v>3500</v>
      </c>
      <c r="F45" s="102"/>
      <c r="G45" s="102"/>
      <c r="H45" s="102"/>
    </row>
    <row r="46" spans="2:8" s="87" customFormat="1" ht="16.5" customHeight="1" thickBot="1" x14ac:dyDescent="0.3">
      <c r="B46" s="220"/>
      <c r="C46" s="93">
        <f t="shared" ref="C46:E46" si="11">SUM(C40:C45)</f>
        <v>58200</v>
      </c>
      <c r="D46" s="93">
        <f t="shared" si="11"/>
        <v>84500</v>
      </c>
      <c r="E46" s="94">
        <f t="shared" si="11"/>
        <v>113900</v>
      </c>
      <c r="F46" s="102"/>
    </row>
    <row r="47" spans="2:8" ht="15.75" thickBot="1" x14ac:dyDescent="0.3">
      <c r="F47" s="87"/>
    </row>
    <row r="48" spans="2:8" ht="15.75" thickBot="1" x14ac:dyDescent="0.3">
      <c r="B48" s="219" t="s">
        <v>10</v>
      </c>
      <c r="C48" s="100" t="s">
        <v>113</v>
      </c>
      <c r="D48" s="100" t="s">
        <v>82</v>
      </c>
      <c r="E48" s="101" t="s">
        <v>83</v>
      </c>
      <c r="F48" s="101" t="s">
        <v>115</v>
      </c>
    </row>
    <row r="49" spans="2:14" x14ac:dyDescent="0.25">
      <c r="B49" s="385" t="str">
        <f>B40</f>
        <v>Капитальные ремонты зданий и сооружений</v>
      </c>
      <c r="C49" s="97">
        <f>IFERROR(C40/$F49*1,0)</f>
        <v>1050</v>
      </c>
      <c r="D49" s="97">
        <f t="shared" ref="D49:E49" si="12">IFERROR(D40/$F49*1,0)</f>
        <v>1800</v>
      </c>
      <c r="E49" s="98">
        <f t="shared" si="12"/>
        <v>2550</v>
      </c>
      <c r="F49" s="340">
        <v>10</v>
      </c>
    </row>
    <row r="50" spans="2:14" x14ac:dyDescent="0.25">
      <c r="B50" s="385" t="str">
        <f t="shared" ref="B50:B54" si="13">B41</f>
        <v>Капитальные ремонты (замена) механического оборудования</v>
      </c>
      <c r="C50" s="97">
        <f t="shared" ref="C50:E50" si="14">IFERROR(C41/$F50*1,0)</f>
        <v>650</v>
      </c>
      <c r="D50" s="97">
        <f t="shared" si="14"/>
        <v>1030</v>
      </c>
      <c r="E50" s="98">
        <f t="shared" si="14"/>
        <v>1410</v>
      </c>
      <c r="F50" s="340">
        <v>10</v>
      </c>
    </row>
    <row r="51" spans="2:14" s="87" customFormat="1" x14ac:dyDescent="0.25">
      <c r="B51" s="385" t="str">
        <f t="shared" si="13"/>
        <v>Капитальные ремонты  (замена) энергетического оборудования</v>
      </c>
      <c r="C51" s="97">
        <f t="shared" ref="C51:E51" si="15">IFERROR(C42/$F51*1,0)</f>
        <v>1520</v>
      </c>
      <c r="D51" s="97">
        <f t="shared" si="15"/>
        <v>2200</v>
      </c>
      <c r="E51" s="98">
        <f t="shared" si="15"/>
        <v>2880</v>
      </c>
      <c r="F51" s="340">
        <v>10</v>
      </c>
    </row>
    <row r="52" spans="2:14" s="87" customFormat="1" x14ac:dyDescent="0.25">
      <c r="B52" s="385" t="str">
        <f t="shared" si="13"/>
        <v>Капитальные ремонты  (замена) оборудования КИПиА</v>
      </c>
      <c r="C52" s="97">
        <f t="shared" ref="C52:E52" si="16">IFERROR(C43/$F52*1,0)</f>
        <v>2200</v>
      </c>
      <c r="D52" s="97">
        <f t="shared" si="16"/>
        <v>3260</v>
      </c>
      <c r="E52" s="98">
        <f t="shared" si="16"/>
        <v>4320</v>
      </c>
      <c r="F52" s="340">
        <v>5</v>
      </c>
    </row>
    <row r="53" spans="2:14" s="87" customFormat="1" x14ac:dyDescent="0.25">
      <c r="B53" s="385" t="str">
        <f t="shared" si="13"/>
        <v>Капитальные ремонты  (закупка) автотранспорта</v>
      </c>
      <c r="C53" s="97">
        <f t="shared" ref="C53:E53" si="17">IFERROR(C44/$F53*1,0)</f>
        <v>840</v>
      </c>
      <c r="D53" s="97">
        <f t="shared" si="17"/>
        <v>1440</v>
      </c>
      <c r="E53" s="98">
        <f t="shared" si="17"/>
        <v>2040</v>
      </c>
      <c r="F53" s="340">
        <v>10</v>
      </c>
    </row>
    <row r="54" spans="2:14" s="87" customFormat="1" x14ac:dyDescent="0.25">
      <c r="B54" s="385" t="str">
        <f t="shared" si="13"/>
        <v>Капитальные ремонты  ж.д.транспорта и ж.д. хозяйства</v>
      </c>
      <c r="C54" s="97">
        <f t="shared" ref="C54:E54" si="18">IFERROR(C45/$F54*1,0)</f>
        <v>0</v>
      </c>
      <c r="D54" s="97">
        <f t="shared" si="18"/>
        <v>0</v>
      </c>
      <c r="E54" s="98">
        <f t="shared" si="18"/>
        <v>0</v>
      </c>
      <c r="F54" s="340"/>
    </row>
    <row r="55" spans="2:14" ht="15.75" thickBot="1" x14ac:dyDescent="0.3">
      <c r="B55" s="220" t="s">
        <v>74</v>
      </c>
      <c r="C55" s="93">
        <f t="shared" ref="C55:E55" si="19">SUM(C49:C54)</f>
        <v>6260</v>
      </c>
      <c r="D55" s="93">
        <f t="shared" si="19"/>
        <v>9730</v>
      </c>
      <c r="E55" s="94">
        <f t="shared" si="19"/>
        <v>13200</v>
      </c>
      <c r="F55" s="94"/>
    </row>
    <row r="56" spans="2:14" ht="15.75" thickBot="1" x14ac:dyDescent="0.3">
      <c r="B56" s="87"/>
      <c r="C56" s="87"/>
      <c r="D56" s="87"/>
      <c r="E56" s="87"/>
      <c r="F56" s="87"/>
    </row>
    <row r="57" spans="2:14" ht="15.75" thickBot="1" x14ac:dyDescent="0.3">
      <c r="B57" s="315" t="s">
        <v>116</v>
      </c>
      <c r="C57" s="316" t="s">
        <v>112</v>
      </c>
      <c r="D57" s="316" t="s">
        <v>99</v>
      </c>
      <c r="E57" s="317" t="s">
        <v>100</v>
      </c>
      <c r="F57" s="318" t="s">
        <v>101</v>
      </c>
      <c r="G57" s="319" t="s">
        <v>102</v>
      </c>
      <c r="H57" s="317" t="s">
        <v>103</v>
      </c>
      <c r="I57" s="316" t="s">
        <v>104</v>
      </c>
      <c r="J57" s="111" t="s">
        <v>105</v>
      </c>
      <c r="K57" s="319" t="s">
        <v>106</v>
      </c>
      <c r="L57" s="317" t="s">
        <v>107</v>
      </c>
      <c r="M57" s="316" t="s">
        <v>108</v>
      </c>
      <c r="N57" s="111" t="s">
        <v>109</v>
      </c>
    </row>
    <row r="58" spans="2:14" x14ac:dyDescent="0.25">
      <c r="B58" s="384" t="str">
        <f>B49</f>
        <v>Капитальные ремонты зданий и сооружений</v>
      </c>
      <c r="C58" s="376">
        <f>C49/4</f>
        <v>262.5</v>
      </c>
      <c r="D58" s="377">
        <f>C49/4</f>
        <v>262.5</v>
      </c>
      <c r="E58" s="377">
        <f>C49/4</f>
        <v>262.5</v>
      </c>
      <c r="F58" s="387">
        <f>C49/4</f>
        <v>262.5</v>
      </c>
      <c r="G58" s="376">
        <f>D49/4</f>
        <v>450</v>
      </c>
      <c r="H58" s="377">
        <f>D49/4</f>
        <v>450</v>
      </c>
      <c r="I58" s="377">
        <f>D49/4</f>
        <v>450</v>
      </c>
      <c r="J58" s="387">
        <f>D49/4</f>
        <v>450</v>
      </c>
      <c r="K58" s="376">
        <f>E49/4</f>
        <v>637.5</v>
      </c>
      <c r="L58" s="377">
        <f>E49/4</f>
        <v>637.5</v>
      </c>
      <c r="M58" s="377">
        <f>E49/4</f>
        <v>637.5</v>
      </c>
      <c r="N58" s="387">
        <f>E49/4</f>
        <v>637.5</v>
      </c>
    </row>
    <row r="59" spans="2:14" s="87" customFormat="1" x14ac:dyDescent="0.25">
      <c r="B59" s="385" t="str">
        <f t="shared" ref="B59:B63" si="20">B50</f>
        <v>Капитальные ремонты (замена) механического оборудования</v>
      </c>
      <c r="C59" s="378">
        <f t="shared" ref="C59:C63" si="21">C50/4</f>
        <v>162.5</v>
      </c>
      <c r="D59" s="379">
        <f t="shared" ref="D59:D63" si="22">C50/4</f>
        <v>162.5</v>
      </c>
      <c r="E59" s="379">
        <f t="shared" ref="E59:E63" si="23">C50/4</f>
        <v>162.5</v>
      </c>
      <c r="F59" s="380">
        <f t="shared" ref="F59:G59" si="24">C50/4</f>
        <v>162.5</v>
      </c>
      <c r="G59" s="381">
        <f t="shared" si="24"/>
        <v>257.5</v>
      </c>
      <c r="H59" s="382">
        <f t="shared" ref="H59:H63" si="25">D50/4</f>
        <v>257.5</v>
      </c>
      <c r="I59" s="382">
        <f t="shared" ref="I59:I63" si="26">D50/4</f>
        <v>257.5</v>
      </c>
      <c r="J59" s="380">
        <f t="shared" ref="J59:K59" si="27">D50/4</f>
        <v>257.5</v>
      </c>
      <c r="K59" s="381">
        <f t="shared" si="27"/>
        <v>352.5</v>
      </c>
      <c r="L59" s="382">
        <f t="shared" ref="L59:L63" si="28">E50/4</f>
        <v>352.5</v>
      </c>
      <c r="M59" s="382">
        <f t="shared" ref="M59:M63" si="29">E50/4</f>
        <v>352.5</v>
      </c>
      <c r="N59" s="380">
        <f t="shared" ref="N59:N63" si="30">E50/4</f>
        <v>352.5</v>
      </c>
    </row>
    <row r="60" spans="2:14" s="87" customFormat="1" x14ac:dyDescent="0.25">
      <c r="B60" s="385" t="str">
        <f t="shared" si="20"/>
        <v>Капитальные ремонты  (замена) энергетического оборудования</v>
      </c>
      <c r="C60" s="378">
        <f t="shared" si="21"/>
        <v>380</v>
      </c>
      <c r="D60" s="379">
        <f t="shared" si="22"/>
        <v>380</v>
      </c>
      <c r="E60" s="379">
        <f t="shared" si="23"/>
        <v>380</v>
      </c>
      <c r="F60" s="380">
        <f t="shared" ref="F60:G60" si="31">C51/4</f>
        <v>380</v>
      </c>
      <c r="G60" s="381">
        <f t="shared" si="31"/>
        <v>550</v>
      </c>
      <c r="H60" s="382">
        <f t="shared" si="25"/>
        <v>550</v>
      </c>
      <c r="I60" s="382">
        <f t="shared" si="26"/>
        <v>550</v>
      </c>
      <c r="J60" s="380">
        <f t="shared" ref="J60:K60" si="32">D51/4</f>
        <v>550</v>
      </c>
      <c r="K60" s="381">
        <f t="shared" si="32"/>
        <v>720</v>
      </c>
      <c r="L60" s="382">
        <f t="shared" si="28"/>
        <v>720</v>
      </c>
      <c r="M60" s="382">
        <f t="shared" si="29"/>
        <v>720</v>
      </c>
      <c r="N60" s="380">
        <f t="shared" si="30"/>
        <v>720</v>
      </c>
    </row>
    <row r="61" spans="2:14" s="87" customFormat="1" x14ac:dyDescent="0.25">
      <c r="B61" s="385" t="str">
        <f t="shared" si="20"/>
        <v>Капитальные ремонты  (замена) оборудования КИПиА</v>
      </c>
      <c r="C61" s="378">
        <f t="shared" si="21"/>
        <v>550</v>
      </c>
      <c r="D61" s="379">
        <f t="shared" si="22"/>
        <v>550</v>
      </c>
      <c r="E61" s="379">
        <f t="shared" si="23"/>
        <v>550</v>
      </c>
      <c r="F61" s="380">
        <f t="shared" ref="F61:G61" si="33">C52/4</f>
        <v>550</v>
      </c>
      <c r="G61" s="381">
        <f t="shared" si="33"/>
        <v>815</v>
      </c>
      <c r="H61" s="382">
        <f t="shared" si="25"/>
        <v>815</v>
      </c>
      <c r="I61" s="382">
        <f t="shared" si="26"/>
        <v>815</v>
      </c>
      <c r="J61" s="380">
        <f t="shared" ref="J61:K61" si="34">D52/4</f>
        <v>815</v>
      </c>
      <c r="K61" s="381">
        <f t="shared" si="34"/>
        <v>1080</v>
      </c>
      <c r="L61" s="382">
        <f t="shared" si="28"/>
        <v>1080</v>
      </c>
      <c r="M61" s="382">
        <f t="shared" si="29"/>
        <v>1080</v>
      </c>
      <c r="N61" s="380">
        <f t="shared" si="30"/>
        <v>1080</v>
      </c>
    </row>
    <row r="62" spans="2:14" s="87" customFormat="1" x14ac:dyDescent="0.25">
      <c r="B62" s="385" t="str">
        <f t="shared" si="20"/>
        <v>Капитальные ремонты  (закупка) автотранспорта</v>
      </c>
      <c r="C62" s="378">
        <f t="shared" si="21"/>
        <v>210</v>
      </c>
      <c r="D62" s="379">
        <f t="shared" si="22"/>
        <v>210</v>
      </c>
      <c r="E62" s="379">
        <f t="shared" si="23"/>
        <v>210</v>
      </c>
      <c r="F62" s="380">
        <f t="shared" ref="F62:G62" si="35">C53/4</f>
        <v>210</v>
      </c>
      <c r="G62" s="381">
        <f t="shared" si="35"/>
        <v>360</v>
      </c>
      <c r="H62" s="382">
        <f t="shared" si="25"/>
        <v>360</v>
      </c>
      <c r="I62" s="382">
        <f t="shared" si="26"/>
        <v>360</v>
      </c>
      <c r="J62" s="380">
        <f t="shared" ref="J62:K62" si="36">D53/4</f>
        <v>360</v>
      </c>
      <c r="K62" s="381">
        <f t="shared" si="36"/>
        <v>510</v>
      </c>
      <c r="L62" s="382">
        <f t="shared" si="28"/>
        <v>510</v>
      </c>
      <c r="M62" s="382">
        <f t="shared" si="29"/>
        <v>510</v>
      </c>
      <c r="N62" s="380">
        <f t="shared" si="30"/>
        <v>510</v>
      </c>
    </row>
    <row r="63" spans="2:14" s="87" customFormat="1" x14ac:dyDescent="0.25">
      <c r="B63" s="386" t="str">
        <f t="shared" si="20"/>
        <v>Капитальные ремонты  ж.д.транспорта и ж.д. хозяйства</v>
      </c>
      <c r="C63" s="370">
        <f t="shared" si="21"/>
        <v>0</v>
      </c>
      <c r="D63" s="371">
        <f t="shared" si="22"/>
        <v>0</v>
      </c>
      <c r="E63" s="371">
        <f t="shared" si="23"/>
        <v>0</v>
      </c>
      <c r="F63" s="372">
        <f t="shared" ref="F63:G63" si="37">C54/4</f>
        <v>0</v>
      </c>
      <c r="G63" s="373">
        <f t="shared" si="37"/>
        <v>0</v>
      </c>
      <c r="H63" s="374">
        <f t="shared" si="25"/>
        <v>0</v>
      </c>
      <c r="I63" s="374">
        <f t="shared" si="26"/>
        <v>0</v>
      </c>
      <c r="J63" s="372">
        <f t="shared" ref="J63:K63" si="38">D54/4</f>
        <v>0</v>
      </c>
      <c r="K63" s="373">
        <f t="shared" si="38"/>
        <v>0</v>
      </c>
      <c r="L63" s="374">
        <f t="shared" si="28"/>
        <v>0</v>
      </c>
      <c r="M63" s="374">
        <f t="shared" si="29"/>
        <v>0</v>
      </c>
      <c r="N63" s="372">
        <f t="shared" si="30"/>
        <v>0</v>
      </c>
    </row>
    <row r="64" spans="2:14" ht="15.75" thickBot="1" x14ac:dyDescent="0.3">
      <c r="B64" s="375" t="s">
        <v>9</v>
      </c>
      <c r="C64" s="321">
        <f t="shared" ref="C64:N64" si="39">SUM(C58:C63)</f>
        <v>1565</v>
      </c>
      <c r="D64" s="322">
        <f t="shared" si="39"/>
        <v>1565</v>
      </c>
      <c r="E64" s="322">
        <f t="shared" si="39"/>
        <v>1565</v>
      </c>
      <c r="F64" s="323">
        <f t="shared" si="39"/>
        <v>1565</v>
      </c>
      <c r="G64" s="324">
        <f t="shared" si="39"/>
        <v>2432.5</v>
      </c>
      <c r="H64" s="325">
        <f t="shared" si="39"/>
        <v>2432.5</v>
      </c>
      <c r="I64" s="325">
        <f t="shared" si="39"/>
        <v>2432.5</v>
      </c>
      <c r="J64" s="323">
        <f t="shared" si="39"/>
        <v>2432.5</v>
      </c>
      <c r="K64" s="324">
        <f t="shared" si="39"/>
        <v>3300</v>
      </c>
      <c r="L64" s="325">
        <f t="shared" si="39"/>
        <v>3300</v>
      </c>
      <c r="M64" s="325">
        <f t="shared" si="39"/>
        <v>3300</v>
      </c>
      <c r="N64" s="323">
        <f t="shared" si="39"/>
        <v>3300</v>
      </c>
    </row>
    <row r="65" spans="2:7" x14ac:dyDescent="0.25">
      <c r="B65" s="87"/>
      <c r="C65" s="87"/>
      <c r="D65" s="87"/>
      <c r="E65" s="87"/>
      <c r="F65" s="87"/>
    </row>
    <row r="66" spans="2:7" x14ac:dyDescent="0.25">
      <c r="B66" s="87"/>
      <c r="C66" s="87"/>
      <c r="D66" s="87"/>
      <c r="E66" s="87"/>
      <c r="F66" s="87"/>
    </row>
    <row r="67" spans="2:7" x14ac:dyDescent="0.25">
      <c r="B67" s="87"/>
      <c r="C67" s="87"/>
      <c r="D67" s="87"/>
      <c r="E67" s="87"/>
      <c r="F67" s="87"/>
    </row>
    <row r="68" spans="2:7" x14ac:dyDescent="0.25">
      <c r="B68" s="87"/>
      <c r="C68" s="87"/>
      <c r="D68" s="87"/>
      <c r="E68" s="87"/>
    </row>
    <row r="69" spans="2:7" x14ac:dyDescent="0.25">
      <c r="B69" s="87"/>
      <c r="C69" s="87"/>
      <c r="D69" s="87"/>
      <c r="F69" s="87"/>
      <c r="G69" s="87"/>
    </row>
    <row r="70" spans="2:7" x14ac:dyDescent="0.25">
      <c r="F70" s="87"/>
      <c r="G70" s="87"/>
    </row>
  </sheetData>
  <pageMargins left="0.7" right="0.7" top="0.75" bottom="0.75" header="0.3" footer="0.3"/>
  <pageSetup paperSize="9" orientation="portrait" horizontalDpi="200" verticalDpi="200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</sheetPr>
  <dimension ref="B1:T25"/>
  <sheetViews>
    <sheetView topLeftCell="A4" zoomScale="140" zoomScaleNormal="140" workbookViewId="0">
      <selection activeCell="C23" sqref="C23"/>
    </sheetView>
  </sheetViews>
  <sheetFormatPr defaultColWidth="9.140625" defaultRowHeight="12" x14ac:dyDescent="0.2"/>
  <cols>
    <col min="1" max="1" width="9.140625" style="28"/>
    <col min="2" max="2" width="43.7109375" style="27" customWidth="1"/>
    <col min="3" max="3" width="11.28515625" style="28" customWidth="1"/>
    <col min="4" max="4" width="9.7109375" style="28" customWidth="1"/>
    <col min="5" max="6" width="9.140625" style="28"/>
    <col min="7" max="7" width="43.7109375" style="27" customWidth="1"/>
    <col min="8" max="18" width="9.140625" style="28"/>
    <col min="19" max="19" width="10.85546875" style="28" customWidth="1"/>
    <col min="20" max="16384" width="9.140625" style="28"/>
  </cols>
  <sheetData>
    <row r="1" spans="2:20" x14ac:dyDescent="0.2">
      <c r="B1" s="51" t="s">
        <v>57</v>
      </c>
      <c r="G1" s="51" t="s">
        <v>57</v>
      </c>
    </row>
    <row r="2" spans="2:20" x14ac:dyDescent="0.2">
      <c r="T2" s="194"/>
    </row>
    <row r="3" spans="2:20" x14ac:dyDescent="0.2">
      <c r="B3" s="29" t="s">
        <v>54</v>
      </c>
      <c r="C3" s="30" t="s">
        <v>81</v>
      </c>
      <c r="D3" s="30" t="s">
        <v>82</v>
      </c>
      <c r="E3" s="31" t="s">
        <v>83</v>
      </c>
      <c r="G3" s="29" t="s">
        <v>54</v>
      </c>
      <c r="H3" s="291" t="s">
        <v>112</v>
      </c>
      <c r="I3" s="292" t="s">
        <v>99</v>
      </c>
      <c r="J3" s="292" t="s">
        <v>100</v>
      </c>
      <c r="K3" s="292" t="s">
        <v>101</v>
      </c>
      <c r="L3" s="292" t="s">
        <v>102</v>
      </c>
      <c r="M3" s="292" t="s">
        <v>103</v>
      </c>
      <c r="N3" s="292" t="s">
        <v>104</v>
      </c>
      <c r="O3" s="292" t="s">
        <v>105</v>
      </c>
      <c r="P3" s="292" t="s">
        <v>106</v>
      </c>
      <c r="Q3" s="293" t="s">
        <v>107</v>
      </c>
      <c r="R3" s="293" t="s">
        <v>108</v>
      </c>
      <c r="S3" s="294" t="s">
        <v>109</v>
      </c>
    </row>
    <row r="4" spans="2:20" x14ac:dyDescent="0.2">
      <c r="B4" s="32" t="s">
        <v>55</v>
      </c>
      <c r="C4" s="33">
        <v>12</v>
      </c>
      <c r="D4" s="33">
        <v>12</v>
      </c>
      <c r="E4" s="34">
        <v>12</v>
      </c>
      <c r="F4" s="297"/>
      <c r="G4" s="32" t="s">
        <v>55</v>
      </c>
      <c r="H4" s="207">
        <v>3</v>
      </c>
      <c r="I4" s="35">
        <v>3</v>
      </c>
      <c r="J4" s="35">
        <v>3</v>
      </c>
      <c r="K4" s="35">
        <v>3</v>
      </c>
      <c r="L4" s="35">
        <v>3</v>
      </c>
      <c r="M4" s="35">
        <v>3</v>
      </c>
      <c r="N4" s="35">
        <v>3</v>
      </c>
      <c r="O4" s="35">
        <v>3</v>
      </c>
      <c r="P4" s="35">
        <v>3</v>
      </c>
      <c r="Q4" s="35">
        <v>3</v>
      </c>
      <c r="R4" s="35">
        <v>3</v>
      </c>
      <c r="S4" s="36">
        <v>3</v>
      </c>
    </row>
    <row r="5" spans="2:20" ht="24" x14ac:dyDescent="0.2">
      <c r="B5" s="37" t="s">
        <v>70</v>
      </c>
      <c r="C5" s="38">
        <f>SUM(C6:C7)</f>
        <v>291.25</v>
      </c>
      <c r="D5" s="38">
        <f t="shared" ref="D5:E5" si="0">SUM(D6:D7)</f>
        <v>340</v>
      </c>
      <c r="E5" s="39">
        <f t="shared" si="0"/>
        <v>340</v>
      </c>
      <c r="G5" s="37" t="s">
        <v>70</v>
      </c>
      <c r="H5" s="208">
        <f t="shared" ref="H5:S5" si="1">SUM(H6:H7)</f>
        <v>145</v>
      </c>
      <c r="I5" s="206">
        <f t="shared" si="1"/>
        <v>340</v>
      </c>
      <c r="J5" s="206">
        <f t="shared" si="1"/>
        <v>340</v>
      </c>
      <c r="K5" s="206">
        <f t="shared" si="1"/>
        <v>340</v>
      </c>
      <c r="L5" s="206">
        <f t="shared" si="1"/>
        <v>340</v>
      </c>
      <c r="M5" s="206">
        <f t="shared" si="1"/>
        <v>340</v>
      </c>
      <c r="N5" s="206">
        <f t="shared" si="1"/>
        <v>340</v>
      </c>
      <c r="O5" s="206">
        <f t="shared" si="1"/>
        <v>340</v>
      </c>
      <c r="P5" s="206">
        <f t="shared" si="1"/>
        <v>340</v>
      </c>
      <c r="Q5" s="206">
        <f t="shared" si="1"/>
        <v>340</v>
      </c>
      <c r="R5" s="206">
        <f t="shared" si="1"/>
        <v>340</v>
      </c>
      <c r="S5" s="209">
        <f t="shared" si="1"/>
        <v>340</v>
      </c>
    </row>
    <row r="6" spans="2:20" x14ac:dyDescent="0.2">
      <c r="B6" s="67" t="s">
        <v>131</v>
      </c>
      <c r="C6" s="451">
        <f>AVERAGE(H6:K6)</f>
        <v>258</v>
      </c>
      <c r="D6" s="451">
        <f>AVERAGE(L6:O6)</f>
        <v>304</v>
      </c>
      <c r="E6" s="452">
        <f>AVERAGE(P6:S6)</f>
        <v>304</v>
      </c>
      <c r="G6" s="67" t="str">
        <f>B6</f>
        <v>Сотрудники основного производства / ИТР</v>
      </c>
      <c r="H6" s="50">
        <v>120</v>
      </c>
      <c r="I6" s="50">
        <v>304</v>
      </c>
      <c r="J6" s="50">
        <v>304</v>
      </c>
      <c r="K6" s="50">
        <v>304</v>
      </c>
      <c r="L6" s="50">
        <v>304</v>
      </c>
      <c r="M6" s="50">
        <v>304</v>
      </c>
      <c r="N6" s="50">
        <v>304</v>
      </c>
      <c r="O6" s="50">
        <v>304</v>
      </c>
      <c r="P6" s="50">
        <v>304</v>
      </c>
      <c r="Q6" s="50">
        <v>304</v>
      </c>
      <c r="R6" s="50">
        <v>304</v>
      </c>
      <c r="S6" s="50">
        <v>304</v>
      </c>
    </row>
    <row r="7" spans="2:20" x14ac:dyDescent="0.2">
      <c r="B7" s="67" t="s">
        <v>130</v>
      </c>
      <c r="C7" s="451">
        <f>AVERAGE(H7:K7)</f>
        <v>33.25</v>
      </c>
      <c r="D7" s="451">
        <f>AVERAGE(L7:O7)</f>
        <v>36</v>
      </c>
      <c r="E7" s="452">
        <f>AVERAGE(P7:S7)</f>
        <v>36</v>
      </c>
      <c r="G7" s="67" t="str">
        <f>B7</f>
        <v>Административный персонал</v>
      </c>
      <c r="H7" s="295">
        <v>25</v>
      </c>
      <c r="I7" s="50">
        <v>36</v>
      </c>
      <c r="J7" s="50">
        <v>36</v>
      </c>
      <c r="K7" s="50">
        <v>36</v>
      </c>
      <c r="L7" s="50">
        <v>36</v>
      </c>
      <c r="M7" s="50">
        <v>36</v>
      </c>
      <c r="N7" s="50">
        <v>36</v>
      </c>
      <c r="O7" s="50">
        <v>36</v>
      </c>
      <c r="P7" s="50">
        <v>36</v>
      </c>
      <c r="Q7" s="50">
        <v>36</v>
      </c>
      <c r="R7" s="50">
        <v>36</v>
      </c>
      <c r="S7" s="50">
        <v>36</v>
      </c>
    </row>
    <row r="8" spans="2:20" x14ac:dyDescent="0.2">
      <c r="B8" s="32"/>
      <c r="C8" s="451"/>
      <c r="D8" s="451"/>
      <c r="E8" s="452"/>
      <c r="G8" s="32"/>
      <c r="H8" s="207"/>
      <c r="I8" s="35"/>
      <c r="J8" s="35"/>
      <c r="K8" s="35"/>
      <c r="L8" s="35"/>
      <c r="M8" s="35"/>
      <c r="N8" s="35"/>
      <c r="O8" s="35"/>
      <c r="P8" s="35"/>
      <c r="Q8" s="35"/>
      <c r="R8" s="35"/>
      <c r="S8" s="36"/>
    </row>
    <row r="9" spans="2:20" x14ac:dyDescent="0.2">
      <c r="B9" s="37" t="s">
        <v>53</v>
      </c>
      <c r="C9" s="453">
        <f>IFERROR(C13/C5,0)/C4</f>
        <v>27.369957081545063</v>
      </c>
      <c r="D9" s="453">
        <f t="shared" ref="D9:E9" si="2">IFERROR(D13/D5,0)/D4</f>
        <v>30.323529411764707</v>
      </c>
      <c r="E9" s="454">
        <f t="shared" si="2"/>
        <v>33.376470588235293</v>
      </c>
      <c r="G9" s="37" t="s">
        <v>53</v>
      </c>
      <c r="H9" s="210">
        <f t="shared" ref="H9:S9" si="3">IFERROR(H13/H5,0)/H4</f>
        <v>0</v>
      </c>
      <c r="I9" s="69">
        <f t="shared" si="3"/>
        <v>0</v>
      </c>
      <c r="J9" s="69">
        <f t="shared" si="3"/>
        <v>0</v>
      </c>
      <c r="K9" s="69">
        <f t="shared" si="3"/>
        <v>0</v>
      </c>
      <c r="L9" s="69">
        <f t="shared" si="3"/>
        <v>0</v>
      </c>
      <c r="M9" s="69">
        <f t="shared" si="3"/>
        <v>0</v>
      </c>
      <c r="N9" s="69">
        <f t="shared" si="3"/>
        <v>0</v>
      </c>
      <c r="O9" s="69">
        <f t="shared" si="3"/>
        <v>0</v>
      </c>
      <c r="P9" s="69">
        <f t="shared" si="3"/>
        <v>0</v>
      </c>
      <c r="Q9" s="69">
        <f t="shared" si="3"/>
        <v>0</v>
      </c>
      <c r="R9" s="69">
        <f t="shared" si="3"/>
        <v>0</v>
      </c>
      <c r="S9" s="70">
        <f t="shared" si="3"/>
        <v>0</v>
      </c>
    </row>
    <row r="10" spans="2:20" x14ac:dyDescent="0.2">
      <c r="B10" s="67" t="s">
        <v>131</v>
      </c>
      <c r="C10" s="451">
        <f>C14/C6/C4</f>
        <v>26</v>
      </c>
      <c r="D10" s="451">
        <f t="shared" ref="D10:E10" si="4">D14/D6/D4</f>
        <v>29</v>
      </c>
      <c r="E10" s="455">
        <f t="shared" si="4"/>
        <v>32</v>
      </c>
      <c r="G10" s="215" t="str">
        <f>B10</f>
        <v>Сотрудники основного производства / ИТР</v>
      </c>
      <c r="H10" s="296">
        <v>26</v>
      </c>
      <c r="I10" s="296">
        <v>26</v>
      </c>
      <c r="J10" s="296">
        <v>26</v>
      </c>
      <c r="K10" s="296">
        <v>26</v>
      </c>
      <c r="L10" s="296">
        <v>26</v>
      </c>
      <c r="M10" s="296">
        <v>26</v>
      </c>
      <c r="N10" s="296">
        <v>32</v>
      </c>
      <c r="O10" s="296">
        <v>32</v>
      </c>
      <c r="P10" s="296">
        <v>32</v>
      </c>
      <c r="Q10" s="296">
        <v>32</v>
      </c>
      <c r="R10" s="296">
        <v>32</v>
      </c>
      <c r="S10" s="296">
        <v>32</v>
      </c>
    </row>
    <row r="11" spans="2:20" x14ac:dyDescent="0.2">
      <c r="B11" s="67" t="s">
        <v>130</v>
      </c>
      <c r="C11" s="451">
        <f t="shared" ref="C11:E11" si="5">C15/C7/C5</f>
        <v>1.5656652360515022</v>
      </c>
      <c r="D11" s="451">
        <f t="shared" si="5"/>
        <v>1.4647058823529411</v>
      </c>
      <c r="E11" s="455">
        <f t="shared" si="5"/>
        <v>1.588235294117647</v>
      </c>
      <c r="G11" s="67" t="str">
        <f>B11</f>
        <v>Административный персонал</v>
      </c>
      <c r="H11" s="295">
        <v>38</v>
      </c>
      <c r="I11" s="295">
        <v>38</v>
      </c>
      <c r="J11" s="295">
        <v>38</v>
      </c>
      <c r="K11" s="295">
        <v>38</v>
      </c>
      <c r="L11" s="295">
        <v>38</v>
      </c>
      <c r="M11" s="295">
        <v>38</v>
      </c>
      <c r="N11" s="295">
        <v>45</v>
      </c>
      <c r="O11" s="295">
        <v>45</v>
      </c>
      <c r="P11" s="295">
        <v>45</v>
      </c>
      <c r="Q11" s="295">
        <v>45</v>
      </c>
      <c r="R11" s="295">
        <v>45</v>
      </c>
      <c r="S11" s="295">
        <v>45</v>
      </c>
    </row>
    <row r="12" spans="2:20" x14ac:dyDescent="0.2">
      <c r="B12" s="32"/>
      <c r="C12" s="35"/>
      <c r="D12" s="35"/>
      <c r="E12" s="36"/>
      <c r="G12" s="32"/>
      <c r="H12" s="207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6"/>
    </row>
    <row r="13" spans="2:20" x14ac:dyDescent="0.2">
      <c r="B13" s="47" t="s">
        <v>52</v>
      </c>
      <c r="C13" s="48">
        <f>SUM(C14:C15)</f>
        <v>95658</v>
      </c>
      <c r="D13" s="48">
        <f t="shared" ref="D13:E13" si="6">SUM(D14:D15)</f>
        <v>123720</v>
      </c>
      <c r="E13" s="49">
        <f t="shared" si="6"/>
        <v>136176</v>
      </c>
      <c r="G13" s="47" t="s">
        <v>52</v>
      </c>
      <c r="H13" s="216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9"/>
    </row>
    <row r="14" spans="2:20" x14ac:dyDescent="0.2">
      <c r="B14" s="32" t="s">
        <v>131</v>
      </c>
      <c r="C14" s="43">
        <f>SUM(H14:K14)</f>
        <v>80496</v>
      </c>
      <c r="D14" s="43">
        <f>SUM(L14:O14)</f>
        <v>105792</v>
      </c>
      <c r="E14" s="44">
        <f>SUM(P14:S14)</f>
        <v>116736</v>
      </c>
      <c r="G14" s="32" t="str">
        <f>B14</f>
        <v>Сотрудники основного производства / ИТР</v>
      </c>
      <c r="H14" s="211">
        <f t="shared" ref="H14" si="7">H6*H10*H4</f>
        <v>9360</v>
      </c>
      <c r="I14" s="43">
        <f t="shared" ref="I14:S14" si="8">I6*I10*I4</f>
        <v>23712</v>
      </c>
      <c r="J14" s="43">
        <f t="shared" si="8"/>
        <v>23712</v>
      </c>
      <c r="K14" s="43">
        <f t="shared" si="8"/>
        <v>23712</v>
      </c>
      <c r="L14" s="43">
        <f t="shared" si="8"/>
        <v>23712</v>
      </c>
      <c r="M14" s="43">
        <f t="shared" si="8"/>
        <v>23712</v>
      </c>
      <c r="N14" s="43">
        <f t="shared" si="8"/>
        <v>29184</v>
      </c>
      <c r="O14" s="43">
        <f t="shared" si="8"/>
        <v>29184</v>
      </c>
      <c r="P14" s="43">
        <f t="shared" si="8"/>
        <v>29184</v>
      </c>
      <c r="Q14" s="43">
        <f t="shared" si="8"/>
        <v>29184</v>
      </c>
      <c r="R14" s="43">
        <f t="shared" si="8"/>
        <v>29184</v>
      </c>
      <c r="S14" s="44">
        <f t="shared" si="8"/>
        <v>29184</v>
      </c>
    </row>
    <row r="15" spans="2:20" x14ac:dyDescent="0.2">
      <c r="B15" s="37" t="s">
        <v>130</v>
      </c>
      <c r="C15" s="45">
        <f>SUM(H15:K15)</f>
        <v>15162</v>
      </c>
      <c r="D15" s="45">
        <f>SUM(L15:O15)</f>
        <v>17928</v>
      </c>
      <c r="E15" s="46">
        <f>SUM(P15:S15)</f>
        <v>19440</v>
      </c>
      <c r="G15" s="37" t="str">
        <f>B15</f>
        <v>Административный персонал</v>
      </c>
      <c r="H15" s="212">
        <f t="shared" ref="H15" si="9">H7*H11*H4</f>
        <v>2850</v>
      </c>
      <c r="I15" s="45">
        <f t="shared" ref="I15:S15" si="10">I7*I11*I4</f>
        <v>4104</v>
      </c>
      <c r="J15" s="45">
        <f t="shared" si="10"/>
        <v>4104</v>
      </c>
      <c r="K15" s="45">
        <f t="shared" si="10"/>
        <v>4104</v>
      </c>
      <c r="L15" s="45">
        <f t="shared" si="10"/>
        <v>4104</v>
      </c>
      <c r="M15" s="45">
        <f t="shared" si="10"/>
        <v>4104</v>
      </c>
      <c r="N15" s="45">
        <f t="shared" si="10"/>
        <v>4860</v>
      </c>
      <c r="O15" s="45">
        <f t="shared" si="10"/>
        <v>4860</v>
      </c>
      <c r="P15" s="45">
        <f t="shared" si="10"/>
        <v>4860</v>
      </c>
      <c r="Q15" s="45">
        <f t="shared" si="10"/>
        <v>4860</v>
      </c>
      <c r="R15" s="45">
        <f t="shared" si="10"/>
        <v>4860</v>
      </c>
      <c r="S15" s="46">
        <f t="shared" si="10"/>
        <v>4860</v>
      </c>
    </row>
    <row r="16" spans="2:20" x14ac:dyDescent="0.2">
      <c r="B16" s="40"/>
      <c r="C16" s="41"/>
      <c r="D16" s="41"/>
      <c r="E16" s="42"/>
      <c r="G16" s="40"/>
      <c r="H16" s="213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2"/>
    </row>
    <row r="17" spans="2:19" x14ac:dyDescent="0.2">
      <c r="B17" s="47" t="s">
        <v>56</v>
      </c>
      <c r="C17" s="48">
        <f>SUM(C18:C19)</f>
        <v>28697.399999999994</v>
      </c>
      <c r="D17" s="48">
        <f t="shared" ref="D17" si="11">SUM(D18:D19)</f>
        <v>37116</v>
      </c>
      <c r="E17" s="49">
        <f t="shared" ref="E17" si="12">SUM(E18:E19)</f>
        <v>40852.799999999996</v>
      </c>
      <c r="G17" s="47" t="s">
        <v>56</v>
      </c>
      <c r="H17" s="214">
        <f>SUM(H18:H19)</f>
        <v>3663</v>
      </c>
      <c r="I17" s="48">
        <f t="shared" ref="I17:S17" si="13">SUM(I18:I19)</f>
        <v>8344.7999999999993</v>
      </c>
      <c r="J17" s="48">
        <f t="shared" si="13"/>
        <v>8344.7999999999993</v>
      </c>
      <c r="K17" s="48">
        <f t="shared" si="13"/>
        <v>8344.7999999999993</v>
      </c>
      <c r="L17" s="48">
        <f t="shared" si="13"/>
        <v>8344.7999999999993</v>
      </c>
      <c r="M17" s="48">
        <f t="shared" si="13"/>
        <v>8344.7999999999993</v>
      </c>
      <c r="N17" s="48">
        <f t="shared" si="13"/>
        <v>10213.199999999999</v>
      </c>
      <c r="O17" s="48">
        <f t="shared" si="13"/>
        <v>10213.199999999999</v>
      </c>
      <c r="P17" s="48">
        <f t="shared" si="13"/>
        <v>10213.199999999999</v>
      </c>
      <c r="Q17" s="48">
        <f t="shared" si="13"/>
        <v>10213.199999999999</v>
      </c>
      <c r="R17" s="48">
        <f t="shared" si="13"/>
        <v>10213.199999999999</v>
      </c>
      <c r="S17" s="49">
        <f t="shared" si="13"/>
        <v>10213.199999999999</v>
      </c>
    </row>
    <row r="18" spans="2:19" x14ac:dyDescent="0.2">
      <c r="B18" s="32" t="s">
        <v>131</v>
      </c>
      <c r="C18" s="43">
        <f>SUM(H18:K18)</f>
        <v>24148.799999999996</v>
      </c>
      <c r="D18" s="43">
        <f>SUM(L18:O18)</f>
        <v>31737.599999999999</v>
      </c>
      <c r="E18" s="44">
        <f>SUM(P18:S18)</f>
        <v>35020.799999999996</v>
      </c>
      <c r="G18" s="32" t="str">
        <f>B18</f>
        <v>Сотрудники основного производства / ИТР</v>
      </c>
      <c r="H18" s="211">
        <f t="shared" ref="H18" si="14">H14*0.3</f>
        <v>2808</v>
      </c>
      <c r="I18" s="43">
        <f t="shared" ref="I18:S18" si="15">I14*0.3</f>
        <v>7113.5999999999995</v>
      </c>
      <c r="J18" s="43">
        <f t="shared" si="15"/>
        <v>7113.5999999999995</v>
      </c>
      <c r="K18" s="43">
        <f t="shared" si="15"/>
        <v>7113.5999999999995</v>
      </c>
      <c r="L18" s="43">
        <f t="shared" si="15"/>
        <v>7113.5999999999995</v>
      </c>
      <c r="M18" s="43">
        <f t="shared" si="15"/>
        <v>7113.5999999999995</v>
      </c>
      <c r="N18" s="43">
        <f t="shared" si="15"/>
        <v>8755.1999999999989</v>
      </c>
      <c r="O18" s="43">
        <f t="shared" si="15"/>
        <v>8755.1999999999989</v>
      </c>
      <c r="P18" s="43">
        <f t="shared" si="15"/>
        <v>8755.1999999999989</v>
      </c>
      <c r="Q18" s="43">
        <f t="shared" si="15"/>
        <v>8755.1999999999989</v>
      </c>
      <c r="R18" s="43">
        <f t="shared" si="15"/>
        <v>8755.1999999999989</v>
      </c>
      <c r="S18" s="44">
        <f t="shared" si="15"/>
        <v>8755.1999999999989</v>
      </c>
    </row>
    <row r="19" spans="2:19" x14ac:dyDescent="0.2">
      <c r="B19" s="37" t="s">
        <v>130</v>
      </c>
      <c r="C19" s="45">
        <f>SUM(H19:K19)</f>
        <v>4548.5999999999995</v>
      </c>
      <c r="D19" s="45">
        <f>SUM(L19:O19)</f>
        <v>5378.4</v>
      </c>
      <c r="E19" s="46">
        <f>SUM(P19:S19)</f>
        <v>5832</v>
      </c>
      <c r="G19" s="37" t="str">
        <f>B19</f>
        <v>Административный персонал</v>
      </c>
      <c r="H19" s="212">
        <f t="shared" ref="H19" si="16">H15*0.3</f>
        <v>855</v>
      </c>
      <c r="I19" s="45">
        <f t="shared" ref="I19:S19" si="17">I15*0.3</f>
        <v>1231.2</v>
      </c>
      <c r="J19" s="45">
        <f t="shared" si="17"/>
        <v>1231.2</v>
      </c>
      <c r="K19" s="45">
        <f t="shared" si="17"/>
        <v>1231.2</v>
      </c>
      <c r="L19" s="45">
        <f t="shared" si="17"/>
        <v>1231.2</v>
      </c>
      <c r="M19" s="45">
        <f t="shared" si="17"/>
        <v>1231.2</v>
      </c>
      <c r="N19" s="45">
        <f t="shared" si="17"/>
        <v>1458</v>
      </c>
      <c r="O19" s="45">
        <f t="shared" si="17"/>
        <v>1458</v>
      </c>
      <c r="P19" s="45">
        <f t="shared" si="17"/>
        <v>1458</v>
      </c>
      <c r="Q19" s="45">
        <f t="shared" si="17"/>
        <v>1458</v>
      </c>
      <c r="R19" s="45">
        <f t="shared" si="17"/>
        <v>1458</v>
      </c>
      <c r="S19" s="46">
        <f t="shared" si="17"/>
        <v>1458</v>
      </c>
    </row>
    <row r="22" spans="2:19" x14ac:dyDescent="0.2">
      <c r="G22" s="469" t="s">
        <v>181</v>
      </c>
      <c r="H22" s="470"/>
      <c r="I22" s="470"/>
      <c r="J22" s="470"/>
      <c r="K22" s="470"/>
      <c r="L22" s="470"/>
      <c r="M22" s="470"/>
    </row>
    <row r="23" spans="2:19" ht="17.25" customHeight="1" x14ac:dyDescent="0.2">
      <c r="G23" s="516" t="s">
        <v>182</v>
      </c>
      <c r="H23" s="516"/>
      <c r="I23" s="516"/>
      <c r="J23" s="516"/>
      <c r="K23" s="516"/>
      <c r="L23" s="516"/>
      <c r="M23" s="516"/>
    </row>
    <row r="24" spans="2:19" x14ac:dyDescent="0.2">
      <c r="G24" s="516" t="s">
        <v>183</v>
      </c>
      <c r="H24" s="516"/>
      <c r="I24" s="516"/>
      <c r="J24" s="516"/>
      <c r="K24" s="516"/>
      <c r="L24" s="516"/>
      <c r="M24" s="516"/>
    </row>
    <row r="25" spans="2:19" x14ac:dyDescent="0.2">
      <c r="G25" s="517"/>
      <c r="H25" s="517"/>
      <c r="I25" s="517"/>
      <c r="J25" s="517"/>
      <c r="K25" s="517"/>
      <c r="L25" s="517"/>
      <c r="M25" s="517"/>
    </row>
  </sheetData>
  <mergeCells count="3">
    <mergeCell ref="G23:M23"/>
    <mergeCell ref="G24:M24"/>
    <mergeCell ref="G25:M25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Таблица КПЭ - новое</vt:lpstr>
      <vt:lpstr>Выручка и БДР</vt:lpstr>
      <vt:lpstr>Выручка</vt:lpstr>
      <vt:lpstr>Инвестиции</vt:lpstr>
      <vt:lpstr>Штат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Verba</dc:creator>
  <cp:lastModifiedBy>admin</cp:lastModifiedBy>
  <cp:lastPrinted>2023-05-05T11:51:15Z</cp:lastPrinted>
  <dcterms:created xsi:type="dcterms:W3CDTF">2023-04-19T12:18:13Z</dcterms:created>
  <dcterms:modified xsi:type="dcterms:W3CDTF">2023-12-12T06:45:52Z</dcterms:modified>
</cp:coreProperties>
</file>